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8DEC5B74-8119-0241-BBAB-8CF9C8B24046}"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T9" i="1"/>
  <c r="BF10" i="1"/>
  <c r="BT10" i="1"/>
  <c r="BF11" i="1"/>
  <c r="BT11" i="1"/>
  <c r="BF12" i="1"/>
  <c r="BT12" i="1"/>
  <c r="BF13" i="1"/>
  <c r="BT13" i="1"/>
  <c r="BF14" i="1"/>
  <c r="BT14" i="1"/>
  <c r="BF15" i="1"/>
  <c r="BT15" i="1"/>
  <c r="BF16" i="1"/>
  <c r="BT16" i="1"/>
  <c r="BF17" i="1"/>
  <c r="BT17" i="1"/>
  <c r="BF18" i="1"/>
  <c r="BT18" i="1"/>
  <c r="BF19" i="1"/>
  <c r="BT19" i="1"/>
  <c r="BF20" i="1"/>
  <c r="BT20" i="1"/>
  <c r="BT21" i="1"/>
  <c r="BT22" i="1"/>
  <c r="BF23" i="1"/>
  <c r="BT23" i="1"/>
  <c r="BF24" i="1"/>
  <c r="BT24" i="1"/>
  <c r="BF25" i="1"/>
  <c r="BT25" i="1"/>
  <c r="BF26" i="1"/>
  <c r="BT26" i="1"/>
  <c r="BF27" i="1"/>
  <c r="BT27" i="1"/>
  <c r="BF28" i="1"/>
  <c r="BT28" i="1"/>
  <c r="BF29" i="1"/>
  <c r="BT29" i="1"/>
  <c r="BF30" i="1"/>
  <c r="BT30" i="1"/>
  <c r="BF31" i="1"/>
  <c r="BT31" i="1"/>
  <c r="BT32" i="1"/>
  <c r="BT33" i="1"/>
  <c r="BF34" i="1"/>
  <c r="BT34" i="1"/>
  <c r="BT35" i="1"/>
  <c r="BF36" i="1"/>
  <c r="BT36" i="1"/>
  <c r="BF37" i="1"/>
  <c r="BT37" i="1"/>
  <c r="BF38" i="1"/>
  <c r="BT38" i="1"/>
  <c r="BT39"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T59" i="1"/>
  <c r="BF60" i="1"/>
  <c r="BT60" i="1"/>
  <c r="BF61" i="1"/>
  <c r="BT61" i="1"/>
  <c r="BF62" i="1"/>
  <c r="BT62" i="1"/>
  <c r="BF63" i="1"/>
  <c r="BT63" i="1"/>
  <c r="BF64" i="1"/>
  <c r="BT64" i="1"/>
  <c r="BT65" i="1"/>
  <c r="BT66" i="1"/>
  <c r="BF67" i="1"/>
  <c r="BT67" i="1"/>
  <c r="BF68" i="1"/>
  <c r="BT68" i="1"/>
  <c r="BT69" i="1"/>
  <c r="BT70" i="1"/>
  <c r="BF71" i="1"/>
  <c r="BT71" i="1"/>
  <c r="BF72" i="1"/>
  <c r="BT72" i="1"/>
  <c r="BF73" i="1"/>
  <c r="BT73" i="1"/>
  <c r="BT74" i="1"/>
  <c r="BF75" i="1"/>
  <c r="BT75" i="1"/>
  <c r="BT76" i="1"/>
  <c r="BT77" i="1"/>
  <c r="BF78" i="1"/>
  <c r="BT78" i="1"/>
  <c r="BF79" i="1"/>
  <c r="BT79" i="1"/>
  <c r="BF80" i="1"/>
  <c r="BT80" i="1"/>
  <c r="BF81" i="1"/>
  <c r="BT81" i="1"/>
  <c r="BF82" i="1"/>
  <c r="BT82" i="1"/>
  <c r="BF83" i="1"/>
  <c r="BT83" i="1"/>
  <c r="BF84" i="1"/>
  <c r="BT84" i="1"/>
  <c r="BF85" i="1"/>
  <c r="BT85" i="1"/>
  <c r="BF86" i="1"/>
  <c r="BT86" i="1"/>
  <c r="BT87" i="1"/>
  <c r="BF88" i="1"/>
  <c r="BT88" i="1"/>
  <c r="BF89" i="1"/>
  <c r="BT89" i="1"/>
  <c r="BF90" i="1"/>
  <c r="BT90" i="1"/>
  <c r="BF91" i="1"/>
  <c r="BT91" i="1"/>
  <c r="BF92" i="1"/>
  <c r="BT92" i="1"/>
  <c r="BF93" i="1"/>
  <c r="BT93" i="1"/>
  <c r="BF94" i="1"/>
  <c r="BT94" i="1"/>
  <c r="BF95" i="1"/>
  <c r="BT95" i="1"/>
  <c r="BF96" i="1"/>
  <c r="BT96" i="1"/>
  <c r="BF97" i="1"/>
  <c r="BT97" i="1"/>
  <c r="BF98" i="1"/>
  <c r="BT98"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T116" i="1"/>
  <c r="BF117" i="1"/>
  <c r="BT117" i="1"/>
  <c r="BF118" i="1"/>
  <c r="BT118" i="1"/>
  <c r="BF119" i="1"/>
  <c r="BT119" i="1"/>
  <c r="BF120" i="1"/>
  <c r="BT120" i="1"/>
  <c r="BF121" i="1"/>
  <c r="BT121" i="1"/>
  <c r="BF122" i="1"/>
  <c r="BT122" i="1"/>
  <c r="BF123" i="1"/>
  <c r="BT123" i="1"/>
  <c r="BF124" i="1"/>
  <c r="BT124" i="1"/>
  <c r="BF125" i="1"/>
  <c r="BT125"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F183" i="1"/>
  <c r="BT183" i="1"/>
  <c r="BF184" i="1"/>
  <c r="BT184" i="1"/>
  <c r="BF185" i="1"/>
  <c r="BT185" i="1"/>
  <c r="BF186" i="1"/>
  <c r="BT186" i="1"/>
  <c r="BT187" i="1"/>
  <c r="BT188" i="1"/>
  <c r="BT189" i="1"/>
  <c r="BT190" i="1"/>
  <c r="BF191" i="1"/>
  <c r="BT191" i="1"/>
  <c r="BT192" i="1"/>
  <c r="BF193" i="1"/>
  <c r="BT193" i="1"/>
  <c r="BT194" i="1"/>
  <c r="BT195" i="1"/>
  <c r="BF196" i="1"/>
  <c r="BT196" i="1"/>
  <c r="BF197" i="1"/>
  <c r="BT197" i="1"/>
  <c r="BF198" i="1"/>
  <c r="BT198" i="1"/>
  <c r="BF199" i="1"/>
  <c r="BT199" i="1"/>
  <c r="BF200" i="1"/>
  <c r="BT200" i="1"/>
  <c r="BF201"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F317" i="1"/>
  <c r="BT317" i="1"/>
  <c r="BF318" i="1"/>
  <c r="BT318" i="1"/>
  <c r="BT319" i="1"/>
  <c r="BT320" i="1"/>
  <c r="BT321" i="1"/>
  <c r="BT322" i="1"/>
  <c r="BF323" i="1"/>
  <c r="BT323" i="1"/>
  <c r="BF324" i="1"/>
  <c r="BT324" i="1"/>
  <c r="BF325" i="1"/>
  <c r="BT325" i="1"/>
  <c r="BT326" i="1"/>
  <c r="BT327" i="1"/>
  <c r="BF328" i="1"/>
  <c r="BT328" i="1"/>
  <c r="BF329" i="1"/>
  <c r="BT329" i="1"/>
  <c r="BT330" i="1"/>
  <c r="BT331" i="1"/>
  <c r="BF332" i="1"/>
  <c r="BT332" i="1"/>
  <c r="BF333" i="1"/>
  <c r="BT333" i="1"/>
  <c r="BT334" i="1"/>
  <c r="BT335" i="1"/>
  <c r="BT336" i="1"/>
  <c r="BT337" i="1"/>
  <c r="BF338" i="1"/>
  <c r="BT338" i="1"/>
  <c r="BF339" i="1"/>
  <c r="BT339" i="1"/>
  <c r="BF340" i="1"/>
  <c r="BT340" i="1"/>
  <c r="BT341" i="1"/>
  <c r="BF342" i="1"/>
  <c r="BT342" i="1"/>
  <c r="BF343" i="1"/>
  <c r="BT343" i="1"/>
  <c r="BF344" i="1"/>
  <c r="BT344" i="1"/>
  <c r="BF345" i="1"/>
  <c r="BT345" i="1"/>
  <c r="BF346" i="1"/>
  <c r="BT346" i="1"/>
  <c r="BT347" i="1"/>
  <c r="BF348" i="1"/>
  <c r="BT348" i="1"/>
  <c r="BF349" i="1"/>
  <c r="BT349" i="1"/>
  <c r="BF350" i="1"/>
  <c r="BT350" i="1"/>
  <c r="BT351" i="1"/>
  <c r="BF352" i="1"/>
  <c r="BT352" i="1"/>
  <c r="BF353" i="1"/>
  <c r="BT353" i="1"/>
  <c r="BF354" i="1"/>
  <c r="BT354" i="1"/>
  <c r="BF355" i="1"/>
  <c r="BT355" i="1"/>
  <c r="BF356" i="1"/>
  <c r="BT356" i="1"/>
  <c r="BT357" i="1"/>
  <c r="BF358" i="1"/>
  <c r="BT358" i="1"/>
  <c r="BF359" i="1"/>
  <c r="BT359" i="1"/>
  <c r="BF360" i="1"/>
  <c r="BT360" i="1"/>
  <c r="BF361" i="1"/>
  <c r="BT361" i="1"/>
  <c r="BF362" i="1"/>
  <c r="BT362" i="1"/>
  <c r="BF363" i="1"/>
  <c r="BT363" i="1"/>
  <c r="BF364" i="1"/>
  <c r="BT364" i="1"/>
  <c r="BT365" i="1"/>
  <c r="BT366" i="1"/>
  <c r="BT367" i="1"/>
  <c r="BT368" i="1"/>
  <c r="BT369" i="1"/>
  <c r="BT370"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T395" i="1"/>
  <c r="BF396" i="1"/>
  <c r="BT396" i="1"/>
  <c r="BF397" i="1"/>
  <c r="BT397" i="1"/>
  <c r="BF398" i="1"/>
  <c r="BT398" i="1"/>
  <c r="BF399" i="1"/>
  <c r="BT399" i="1"/>
  <c r="BT400" i="1"/>
  <c r="BF401" i="1"/>
  <c r="BT401" i="1"/>
  <c r="BF402" i="1"/>
  <c r="BT402" i="1"/>
  <c r="BF403" i="1"/>
  <c r="BT403" i="1"/>
  <c r="BF404" i="1"/>
  <c r="BT404" i="1"/>
  <c r="BT405" i="1"/>
  <c r="BF406" i="1"/>
  <c r="BT406" i="1"/>
  <c r="BF407" i="1"/>
  <c r="BT407" i="1"/>
  <c r="BF408" i="1"/>
  <c r="BT408" i="1"/>
  <c r="BF409" i="1"/>
  <c r="BT409" i="1"/>
  <c r="BT410" i="1"/>
  <c r="BF411" i="1"/>
  <c r="BT411" i="1"/>
  <c r="BF412" i="1"/>
  <c r="BT412" i="1"/>
  <c r="BT413" i="1"/>
  <c r="BF414" i="1"/>
  <c r="BT414" i="1"/>
  <c r="BF415" i="1"/>
  <c r="BT415" i="1"/>
  <c r="BF416" i="1"/>
  <c r="BT416" i="1"/>
  <c r="BF417" i="1"/>
  <c r="BT417" i="1"/>
  <c r="BF418" i="1"/>
  <c r="BT418" i="1"/>
  <c r="BF419" i="1"/>
  <c r="BT419" i="1"/>
  <c r="BT420" i="1"/>
  <c r="BF421" i="1"/>
  <c r="BT421" i="1"/>
  <c r="BF422" i="1"/>
  <c r="BT422" i="1"/>
  <c r="BF423" i="1"/>
  <c r="BT423" i="1"/>
  <c r="BF424" i="1"/>
  <c r="BT424" i="1"/>
  <c r="BF425" i="1"/>
  <c r="BT425" i="1"/>
  <c r="BF426" i="1"/>
  <c r="BT426" i="1"/>
  <c r="BF427" i="1"/>
  <c r="BT427" i="1"/>
  <c r="BF428" i="1"/>
  <c r="BT428" i="1"/>
  <c r="BF429" i="1"/>
  <c r="BT429" i="1"/>
  <c r="BT430"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T444" i="1"/>
  <c r="BT445"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T473" i="1"/>
  <c r="BT474" i="1"/>
  <c r="BF475" i="1"/>
  <c r="BT475" i="1"/>
  <c r="BT476" i="1"/>
  <c r="BT477" i="1"/>
  <c r="BT478" i="1"/>
  <c r="BT479" i="1"/>
  <c r="BT480" i="1"/>
  <c r="BT481" i="1"/>
  <c r="BF482" i="1"/>
  <c r="BT482" i="1"/>
  <c r="BT483" i="1"/>
  <c r="BT484" i="1"/>
  <c r="BF485" i="1"/>
  <c r="BT485" i="1"/>
  <c r="BF486" i="1"/>
  <c r="BT486" i="1"/>
  <c r="BF487" i="1"/>
  <c r="BT487" i="1"/>
  <c r="BF488" i="1"/>
  <c r="BT488" i="1"/>
  <c r="BF489" i="1"/>
  <c r="BT489" i="1"/>
  <c r="BF490" i="1"/>
  <c r="BT490" i="1"/>
  <c r="BT491" i="1"/>
  <c r="BT492" i="1"/>
  <c r="BT493" i="1"/>
  <c r="BT494" i="1"/>
  <c r="BT495" i="1"/>
  <c r="BT496" i="1"/>
  <c r="BT497" i="1"/>
  <c r="BT498" i="1"/>
  <c r="BT499" i="1"/>
  <c r="BT500" i="1"/>
  <c r="BT501" i="1"/>
  <c r="BT502" i="1"/>
  <c r="BT503" i="1"/>
  <c r="BT504" i="1"/>
  <c r="BT505" i="1"/>
  <c r="BT506" i="1"/>
  <c r="BT507" i="1"/>
  <c r="BT508" i="1"/>
  <c r="BT509" i="1"/>
  <c r="BF510" i="1"/>
  <c r="BT510" i="1"/>
  <c r="BT511" i="1"/>
  <c r="BF512" i="1"/>
  <c r="BT512" i="1"/>
  <c r="BT513" i="1"/>
  <c r="BT514" i="1"/>
  <c r="BT515" i="1"/>
  <c r="BT516" i="1"/>
  <c r="BT517" i="1"/>
  <c r="BT518" i="1"/>
  <c r="BT519" i="1"/>
  <c r="BT520" i="1"/>
  <c r="BF521" i="1"/>
  <c r="BT521" i="1"/>
  <c r="BF522" i="1"/>
  <c r="BT522" i="1"/>
  <c r="BT523" i="1"/>
  <c r="BT524" i="1"/>
  <c r="BT525" i="1"/>
  <c r="BT526" i="1"/>
  <c r="BF527" i="1"/>
  <c r="BT527" i="1"/>
  <c r="BF528" i="1"/>
  <c r="BT528" i="1"/>
  <c r="BF529" i="1"/>
  <c r="BT529" i="1"/>
  <c r="BF530" i="1"/>
  <c r="BT530" i="1"/>
  <c r="BT531" i="1"/>
  <c r="BF532" i="1"/>
  <c r="BT532" i="1"/>
  <c r="BT533" i="1"/>
  <c r="BT534" i="1"/>
  <c r="BT535" i="1"/>
  <c r="BF536" i="1"/>
  <c r="BT536" i="1"/>
  <c r="BF537" i="1"/>
  <c r="BT537" i="1"/>
  <c r="BF538" i="1"/>
  <c r="BT538" i="1"/>
  <c r="BF539" i="1"/>
  <c r="BT539" i="1"/>
  <c r="BF540" i="1"/>
  <c r="BT540" i="1"/>
  <c r="BT541" i="1"/>
  <c r="BT542" i="1"/>
  <c r="BT543" i="1"/>
  <c r="BT544" i="1"/>
  <c r="BT545" i="1"/>
  <c r="BT546" i="1"/>
  <c r="BT547" i="1"/>
  <c r="BT548" i="1"/>
  <c r="BT549" i="1"/>
  <c r="BT550" i="1"/>
  <c r="BT551" i="1"/>
  <c r="BT552" i="1"/>
  <c r="BT553" i="1"/>
  <c r="BT554" i="1"/>
  <c r="BT555" i="1"/>
  <c r="BT556"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T569" i="1"/>
  <c r="BF570" i="1"/>
  <c r="BT570" i="1"/>
  <c r="BF571" i="1"/>
  <c r="BT571" i="1"/>
  <c r="BF572" i="1"/>
  <c r="BT572" i="1"/>
  <c r="BF573" i="1"/>
  <c r="BT573" i="1"/>
  <c r="BF574" i="1"/>
  <c r="BT574" i="1"/>
  <c r="BF575" i="1"/>
  <c r="BT575" i="1"/>
  <c r="BF576" i="1"/>
  <c r="BT576" i="1"/>
  <c r="BF577" i="1"/>
  <c r="BT577" i="1"/>
  <c r="BF578" i="1"/>
  <c r="BT578" i="1"/>
  <c r="BT579" i="1"/>
  <c r="BF580" i="1"/>
  <c r="BT580" i="1"/>
  <c r="BF581" i="1"/>
  <c r="BT581" i="1"/>
  <c r="BF582" i="1"/>
  <c r="BT582" i="1"/>
  <c r="BT583" i="1"/>
  <c r="BF584" i="1"/>
  <c r="BT584" i="1"/>
  <c r="BF585" i="1"/>
  <c r="BT585" i="1"/>
  <c r="BT586"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T643" i="1"/>
  <c r="BT644" i="1"/>
  <c r="BT645" i="1"/>
  <c r="BF646" i="1"/>
  <c r="BT646" i="1"/>
  <c r="BF647" i="1"/>
  <c r="BT647"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T679" i="1"/>
  <c r="BF680" i="1"/>
  <c r="BT680" i="1"/>
  <c r="BF681" i="1"/>
  <c r="BT681" i="1"/>
  <c r="BF682" i="1"/>
  <c r="BT682" i="1"/>
  <c r="BF683" i="1"/>
  <c r="BT683" i="1"/>
  <c r="BF684" i="1"/>
  <c r="BT684" i="1"/>
  <c r="BF685" i="1"/>
  <c r="BT685" i="1"/>
  <c r="BF686" i="1"/>
  <c r="BT686" i="1"/>
  <c r="BF687" i="1"/>
  <c r="BT687" i="1"/>
  <c r="BF688" i="1"/>
  <c r="BT688" i="1"/>
  <c r="BT689" i="1"/>
  <c r="BT690" i="1"/>
  <c r="BF691" i="1"/>
  <c r="BT691" i="1"/>
  <c r="BF692" i="1"/>
  <c r="BT692" i="1"/>
  <c r="BF693" i="1"/>
  <c r="BT693" i="1"/>
  <c r="BF694" i="1"/>
  <c r="BT694" i="1"/>
  <c r="BF695" i="1"/>
  <c r="BT695" i="1"/>
  <c r="BF696" i="1"/>
  <c r="BT696" i="1"/>
  <c r="BF697" i="1"/>
  <c r="BT697" i="1"/>
  <c r="BT698" i="1"/>
  <c r="BF699" i="1"/>
  <c r="BT699" i="1"/>
  <c r="BF700" i="1"/>
  <c r="BT700" i="1"/>
  <c r="BF701" i="1"/>
  <c r="BT701" i="1"/>
  <c r="BF702" i="1"/>
  <c r="BT702" i="1"/>
  <c r="BF703" i="1"/>
  <c r="BT703" i="1"/>
  <c r="BF704" i="1"/>
  <c r="BT704" i="1"/>
  <c r="BF705" i="1"/>
  <c r="BT705" i="1"/>
  <c r="BF706" i="1"/>
  <c r="BT706" i="1"/>
  <c r="BT707" i="1"/>
  <c r="BT708" i="1"/>
  <c r="BF709" i="1"/>
  <c r="BT709" i="1"/>
  <c r="BF710" i="1"/>
  <c r="BT710" i="1"/>
  <c r="BF711" i="1"/>
  <c r="BT711" i="1"/>
  <c r="BF712" i="1"/>
  <c r="BT712" i="1"/>
  <c r="BF713" i="1"/>
  <c r="BT713" i="1"/>
  <c r="BF714" i="1"/>
  <c r="BT714" i="1"/>
  <c r="BF715" i="1"/>
  <c r="BT715" i="1"/>
  <c r="BF716" i="1"/>
  <c r="BT716" i="1"/>
  <c r="BF717" i="1"/>
  <c r="BT717" i="1"/>
  <c r="BF718" i="1"/>
  <c r="BT718" i="1"/>
  <c r="BT719" i="1"/>
  <c r="BT720" i="1"/>
  <c r="BT721" i="1"/>
  <c r="BF722" i="1"/>
  <c r="BT722" i="1"/>
  <c r="BF723" i="1"/>
  <c r="BT723" i="1"/>
  <c r="BF724" i="1"/>
  <c r="BT724" i="1"/>
  <c r="BF725" i="1"/>
  <c r="BT725" i="1"/>
  <c r="BF726" i="1"/>
  <c r="BT726" i="1"/>
  <c r="BT727" i="1"/>
  <c r="BF728" i="1"/>
  <c r="BT728" i="1"/>
  <c r="BF729" i="1"/>
  <c r="BT729"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T748" i="1"/>
  <c r="BF749" i="1"/>
  <c r="BT749" i="1"/>
  <c r="BF750" i="1"/>
  <c r="BT750" i="1"/>
  <c r="BF751" i="1"/>
  <c r="BT751" i="1"/>
  <c r="BF752" i="1"/>
  <c r="BT752" i="1"/>
  <c r="BF753" i="1"/>
  <c r="BT753" i="1"/>
  <c r="BF754" i="1"/>
  <c r="BT754" i="1"/>
  <c r="BF755" i="1"/>
  <c r="BT755" i="1"/>
  <c r="BF756" i="1"/>
  <c r="BT756" i="1"/>
  <c r="BF757" i="1"/>
  <c r="BT757" i="1"/>
  <c r="BF758" i="1"/>
  <c r="BT758" i="1"/>
  <c r="BT759" i="1"/>
  <c r="BF760" i="1"/>
  <c r="BT760" i="1"/>
  <c r="BF761" i="1"/>
  <c r="BT761" i="1"/>
  <c r="BF762" i="1"/>
  <c r="BT762" i="1"/>
  <c r="BF763" i="1"/>
  <c r="BT763" i="1"/>
  <c r="BT764" i="1"/>
  <c r="BF765" i="1"/>
  <c r="BT765" i="1"/>
  <c r="BT766" i="1"/>
  <c r="BF767" i="1"/>
  <c r="BT767" i="1"/>
  <c r="BF768" i="1"/>
  <c r="BT768" i="1"/>
  <c r="BF769" i="1"/>
  <c r="BT769" i="1"/>
  <c r="BF770" i="1"/>
  <c r="BT770" i="1"/>
  <c r="BF771" i="1"/>
  <c r="BT771" i="1"/>
  <c r="BF772" i="1"/>
  <c r="BT772" i="1"/>
  <c r="BF773" i="1"/>
  <c r="BT773" i="1"/>
  <c r="BF774" i="1"/>
  <c r="BT774" i="1"/>
  <c r="BF775" i="1"/>
  <c r="BT775" i="1"/>
  <c r="BF776" i="1"/>
  <c r="BT776" i="1"/>
  <c r="BT777" i="1"/>
  <c r="BF778" i="1"/>
  <c r="BT778" i="1"/>
  <c r="BF779" i="1"/>
  <c r="BT779" i="1"/>
  <c r="BF780" i="1"/>
  <c r="BT780" i="1"/>
  <c r="BF781" i="1"/>
  <c r="BT781" i="1"/>
  <c r="BF782" i="1"/>
  <c r="BT782" i="1"/>
  <c r="BF783" i="1"/>
  <c r="BT783" i="1"/>
  <c r="BF784" i="1"/>
  <c r="BT784" i="1"/>
  <c r="BT785" i="1"/>
  <c r="BT786" i="1"/>
  <c r="BF787" i="1"/>
  <c r="BT787" i="1"/>
  <c r="BF788" i="1"/>
  <c r="BT788" i="1"/>
  <c r="BF789" i="1"/>
  <c r="BT789" i="1"/>
  <c r="BF790" i="1"/>
  <c r="BT790" i="1"/>
  <c r="BF791" i="1"/>
  <c r="BT791" i="1"/>
  <c r="BF792" i="1"/>
  <c r="BT792" i="1"/>
  <c r="BF793" i="1"/>
  <c r="BT793" i="1"/>
  <c r="BF794" i="1"/>
  <c r="BT794" i="1"/>
  <c r="BF795" i="1"/>
  <c r="BT795" i="1"/>
  <c r="BF796" i="1"/>
  <c r="BT796" i="1"/>
  <c r="BT797" i="1"/>
  <c r="BT798" i="1"/>
  <c r="BF799" i="1"/>
  <c r="BT799"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T815"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T832" i="1"/>
  <c r="BT833" i="1"/>
  <c r="BT834" i="1"/>
  <c r="BT835" i="1"/>
  <c r="BF836" i="1"/>
  <c r="BT836" i="1"/>
  <c r="BF837" i="1"/>
  <c r="BT837" i="1"/>
  <c r="BT838" i="1"/>
  <c r="BT839" i="1"/>
  <c r="BT840" i="1"/>
  <c r="BF841" i="1"/>
  <c r="BT841" i="1"/>
  <c r="BF842" i="1"/>
  <c r="BT842" i="1"/>
  <c r="BF843" i="1"/>
  <c r="BT843" i="1"/>
  <c r="BF844" i="1"/>
  <c r="BT844" i="1"/>
  <c r="BF845" i="1"/>
  <c r="BT845" i="1"/>
  <c r="BT846" i="1"/>
  <c r="BF847" i="1"/>
  <c r="BT847" i="1"/>
  <c r="BF848" i="1"/>
  <c r="BT848" i="1"/>
  <c r="BF849" i="1"/>
  <c r="BT849" i="1"/>
  <c r="BF850" i="1"/>
  <c r="BT850" i="1"/>
  <c r="BF851" i="1"/>
  <c r="BT851" i="1"/>
  <c r="BF852" i="1"/>
  <c r="BT852" i="1"/>
  <c r="BF853" i="1"/>
  <c r="BT853" i="1"/>
  <c r="BF854" i="1"/>
  <c r="BT854" i="1"/>
  <c r="BT855" i="1"/>
  <c r="BT856" i="1"/>
  <c r="BF857" i="1"/>
  <c r="BT857" i="1"/>
  <c r="BT858" i="1"/>
  <c r="BF859" i="1"/>
  <c r="BT859" i="1"/>
  <c r="BF860" i="1"/>
  <c r="BT860" i="1"/>
  <c r="BF861" i="1"/>
  <c r="BT861" i="1"/>
  <c r="BT862" i="1"/>
  <c r="BF863" i="1"/>
  <c r="BT863" i="1"/>
  <c r="BF864" i="1"/>
  <c r="BT864"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T901" i="1"/>
  <c r="BF902" i="1"/>
  <c r="BT902" i="1"/>
  <c r="BF903" i="1"/>
  <c r="BT903" i="1"/>
  <c r="BF904" i="1"/>
  <c r="BT904" i="1"/>
  <c r="BF905" i="1"/>
  <c r="BT905" i="1"/>
  <c r="BF906" i="1"/>
  <c r="BT906" i="1"/>
  <c r="BF907" i="1"/>
  <c r="BT907" i="1"/>
  <c r="BF908" i="1"/>
  <c r="BT908" i="1"/>
  <c r="BF909" i="1"/>
  <c r="BT909" i="1"/>
  <c r="BT910" i="1"/>
  <c r="BF911" i="1"/>
  <c r="BT911" i="1"/>
  <c r="BF912" i="1"/>
  <c r="BT912" i="1"/>
  <c r="BF913" i="1"/>
  <c r="BT913" i="1"/>
  <c r="BF914" i="1"/>
  <c r="BT914" i="1"/>
  <c r="BF915" i="1"/>
  <c r="BT915" i="1"/>
  <c r="BT916" i="1"/>
  <c r="BF917" i="1"/>
  <c r="BT917" i="1"/>
  <c r="BF918" i="1"/>
  <c r="BT918" i="1"/>
  <c r="BT919" i="1"/>
  <c r="BF920" i="1"/>
  <c r="BT920" i="1"/>
  <c r="BF921" i="1"/>
  <c r="BT921" i="1"/>
  <c r="BF922" i="1"/>
  <c r="BT922"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T939" i="1"/>
  <c r="BF940" i="1"/>
  <c r="BT940" i="1"/>
  <c r="BF941" i="1"/>
  <c r="BT941" i="1"/>
  <c r="BF942" i="1"/>
  <c r="BT942" i="1"/>
  <c r="BF943" i="1"/>
  <c r="BT943" i="1"/>
  <c r="BF944" i="1"/>
  <c r="BT944" i="1"/>
  <c r="BF945" i="1"/>
  <c r="BT945" i="1"/>
  <c r="BT946" i="1"/>
  <c r="BF947" i="1"/>
  <c r="BT947" i="1"/>
  <c r="BF948" i="1"/>
  <c r="BT948" i="1"/>
  <c r="BF949" i="1"/>
  <c r="BT949" i="1"/>
  <c r="BF950" i="1"/>
  <c r="BT950" i="1"/>
  <c r="BF951" i="1"/>
  <c r="BT951" i="1"/>
  <c r="BF952" i="1"/>
  <c r="BT952" i="1"/>
  <c r="BF953" i="1"/>
  <c r="BT953" i="1"/>
  <c r="BF954" i="1"/>
  <c r="BT954" i="1"/>
  <c r="BT955" i="1"/>
  <c r="BF956" i="1"/>
  <c r="BT956" i="1"/>
  <c r="BF957" i="1"/>
  <c r="BT957" i="1"/>
  <c r="BF958" i="1"/>
  <c r="BT958" i="1"/>
  <c r="BF959" i="1"/>
  <c r="BT959" i="1"/>
  <c r="BF960" i="1"/>
  <c r="BT960" i="1"/>
  <c r="BF961" i="1"/>
  <c r="BT961" i="1"/>
  <c r="BF962" i="1"/>
  <c r="BT962" i="1"/>
  <c r="BT963" i="1"/>
  <c r="BT964" i="1"/>
  <c r="BF965" i="1"/>
  <c r="BT965" i="1"/>
  <c r="BT966" i="1"/>
  <c r="BF967" i="1"/>
  <c r="BT967" i="1"/>
  <c r="BF968" i="1"/>
  <c r="BT968" i="1"/>
  <c r="BT969" i="1"/>
  <c r="BF970" i="1"/>
  <c r="BT970" i="1"/>
  <c r="BF971" i="1"/>
  <c r="BT971" i="1"/>
  <c r="BF972" i="1"/>
  <c r="BT972" i="1"/>
  <c r="BF973" i="1"/>
  <c r="BT973" i="1"/>
  <c r="BF974" i="1"/>
  <c r="BT974" i="1"/>
  <c r="BT975" i="1"/>
  <c r="BF976" i="1"/>
  <c r="BT976" i="1"/>
  <c r="BF977" i="1"/>
  <c r="BT977" i="1"/>
  <c r="BF978" i="1"/>
  <c r="BT978" i="1"/>
  <c r="BT979" i="1"/>
  <c r="BF980" i="1"/>
  <c r="BT980" i="1"/>
  <c r="BF981" i="1"/>
  <c r="BT981" i="1"/>
  <c r="BF982" i="1"/>
  <c r="BT982" i="1"/>
  <c r="BF983" i="1"/>
  <c r="BT983" i="1"/>
  <c r="BT984" i="1"/>
  <c r="BF985" i="1"/>
  <c r="BT985" i="1"/>
  <c r="BF986" i="1"/>
  <c r="BT986" i="1"/>
  <c r="BF987" i="1"/>
  <c r="BT987" i="1"/>
  <c r="BF988" i="1"/>
  <c r="BT988" i="1"/>
  <c r="BF989" i="1"/>
  <c r="BT989" i="1"/>
  <c r="BF990" i="1"/>
  <c r="BT990" i="1"/>
  <c r="BF991" i="1"/>
  <c r="BT991" i="1"/>
  <c r="BT992" i="1"/>
  <c r="BF993" i="1"/>
  <c r="BT993" i="1"/>
  <c r="BT994" i="1"/>
  <c r="BF995" i="1"/>
  <c r="BT995" i="1"/>
  <c r="BF996" i="1"/>
  <c r="BT996" i="1"/>
  <c r="BF997" i="1"/>
  <c r="BT997" i="1"/>
  <c r="BF998" i="1"/>
  <c r="BT998" i="1"/>
  <c r="BT999" i="1"/>
  <c r="BF1000" i="1"/>
  <c r="BT1000" i="1"/>
  <c r="BF1001" i="1"/>
  <c r="BT1001" i="1"/>
</calcChain>
</file>

<file path=xl/sharedStrings.xml><?xml version="1.0" encoding="utf-8"?>
<sst xmlns="http://schemas.openxmlformats.org/spreadsheetml/2006/main" count="59822" uniqueCount="12008">
  <si>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</si>
  <si>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</si>
  <si>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</si>
  <si>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</si>
  <si>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</si>
  <si>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</si>
  <si>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</si>
  <si>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</si>
  <si>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</si>
  <si>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</si>
  <si>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</si>
  <si>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</si>
  <si>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</si>
  <si>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</si>
  <si>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</si>
  <si>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</si>
  <si>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</si>
  <si>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</si>
  <si>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</si>
  <si>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</si>
  <si>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</si>
  <si>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</si>
  <si>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</si>
  <si>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</si>
  <si>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</si>
  <si>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</si>
  <si>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</si>
  <si>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</si>
  <si>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</si>
  <si>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</si>
  <si>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</si>
  <si>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</si>
  <si>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</si>
  <si>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</si>
  <si>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</si>
  <si>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</si>
  <si>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</si>
  <si>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</si>
  <si>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</si>
  <si>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</si>
  <si>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</si>
  <si>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</si>
  <si>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</si>
  <si>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</si>
  <si>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</si>
  <si>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</si>
  <si>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</si>
  <si>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</si>
  <si>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</si>
  <si>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</si>
  <si>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</si>
  <si>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</si>
  <si>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</si>
  <si>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</si>
  <si>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</si>
  <si>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</si>
  <si>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</si>
  <si>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</si>
  <si>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</si>
  <si>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</si>
  <si>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</si>
  <si>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</si>
  <si>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</si>
  <si>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</si>
  <si>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</si>
  <si>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</si>
  <si>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</si>
  <si>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</si>
  <si>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</si>
  <si>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</si>
  <si>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</si>
  <si>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</si>
  <si>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</si>
  <si>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Kampf, J; Backhaus, JO</t>
  </si>
  <si>
    <t/>
  </si>
  <si>
    <t>Shallow, brine-driven free convection in polar oceans: Nonhydrostatic numerical process studies</t>
  </si>
  <si>
    <t>JOURNAL OF GEOPHYSICAL RESEARCH-OCEANS</t>
  </si>
  <si>
    <t>English</t>
  </si>
  <si>
    <t>Article</t>
  </si>
  <si>
    <t>SEA-ICE; DEEP CONVECTION; GREENLAND-SEA; ADVECTION SCHEME; NONLINEAR RENORMALIZATION; HALINE CONVECTION; BOUNDARY-LAYER; ARCTIC OCEAN; WEDDELL SEA; FRAZIL ICE</t>
  </si>
  <si>
    <t>A three-dimensional nonhydrostatic convection model, which accounts for small-scale ice-ocean interactions, is used to study convection in shallow sea (coastal) ice formation regions which contribute significantly to water mass formation in both the Arctic and Antarctic Ocean. For certain conditions the results presented in this paper are also transferable to shallow open ocean convection. The model is applied to an initial well-mixed ocean at rest with a temperature close to the freezing point. The ocean, initially free of ice, is exposed to cold and dry polar air. We consider situations in which the mean wind stress is negligible but wind fluctuations result in (small) sensible and latent heat fluxes corresponding to a wind speed of 2 m s(-1). Cellular convection patterns develop in the ocean, finally occupying a mean aspect ratio of 2. Convection is driven by salt release during frazil ice formation due to supercooling. Newly forming sea ice is collected along convergent (downwelling) regions at the surface, thus showing also cellular structures. Because the area of insulating sea ice remains small, new ice can be formed continuously, and the surface buoyancy forcing remains large. This collection of ice in small fractions of the sea surface results in a latent heat polynya type, which is very effective in terms of dense water mass formation. A comparison of the three-dimensional model and a two-dimensional (slice) model shows that key results can be reproduced with the slice model. In summary, the results of the process studies indicate that cellular features in the sea ice cover, which may be detectable by remote sensing techniques, are closely related to active brine-driven convection.</t>
  </si>
  <si>
    <t>Univ Hamburg, Inst Meereskunde, D-22529 Hamburg, Germany</t>
  </si>
  <si>
    <t>University of Hamburg</t>
  </si>
  <si>
    <t>Kampf, J (corresponding author), Univ Hamburg, Inst Meereskunde, Troplowitzstr 7, D-22529 Hamburg, Germany.</t>
  </si>
  <si>
    <t>kaempf@dkrz.de</t>
  </si>
  <si>
    <t>Kämpf, Jochen/E-9000-2015</t>
  </si>
  <si>
    <t>Kämpf, Jochen/0000-0002-2811-7257</t>
  </si>
  <si>
    <t>AMER GEOPHYSICAL UNION</t>
  </si>
  <si>
    <t>WASHINGTON</t>
  </si>
  <si>
    <t>2000 FLORIDA AVE NW, WASHINGTON, DC 20009 USA</t>
  </si>
  <si>
    <t>2169-9275</t>
  </si>
  <si>
    <t>2169-9291</t>
  </si>
  <si>
    <t>J GEOPHYS RES-OCEANS</t>
  </si>
  <si>
    <t>J. Geophys. Res.-Oceans</t>
  </si>
  <si>
    <t>MAR 15</t>
  </si>
  <si>
    <t>C3</t>
  </si>
  <si>
    <t>10.1029/97JC02680</t>
  </si>
  <si>
    <t>Oceanography</t>
  </si>
  <si>
    <t>Science Citation Index Expanded (SCI-EXPANDED)</t>
  </si>
  <si>
    <t>ZB957</t>
  </si>
  <si>
    <t>Bronze</t>
  </si>
  <si>
    <t>2024-04-21</t>
  </si>
  <si>
    <t>WOS:000072525300016</t>
  </si>
  <si>
    <t>Russell, RJM; Gerike, U; Danson, MJ; Hough, DW; Taylor, GL</t>
  </si>
  <si>
    <t>Structural adaptations of the cold-active citrate synthase from an Antarctic bacterium</t>
  </si>
  <si>
    <t>STRUCTURE</t>
  </si>
  <si>
    <t>citrate synthase; cold-active; cold denaturation; thermostability</t>
  </si>
  <si>
    <t>PROTEIN-STRUCTURE; CRYSTALLOGRAPHIC REFINEMENT; THERMOPLASMA-ACIDOPHILUM; PYROCOCCUS-FURIOSUS; CRYSTAL-STRUCTURES; ALPHA-AMYLASE; STABILITY; RESOLUTION; SEQUENCE; MODELS</t>
  </si>
  <si>
    <t>Background: The structural basis of adaptation of enzymes to low temperature is poorly understood, Dimeric citrate synthase has been used as a model enzyme to study the structural basis of thermostability, the structure of the enzyme from organisms living in habitats at 55 degrees C and 100 degrees C having previously been determined, Here the study is extended to include a citrate synthase from an Antarctic bacterium, allowing us to explore the structural basis of cold activity and thermostability across the whole temperature range over which life is known to exist. Results: We report here the first crystal structure of a cold-active enzyme, citrate synthase, isolated from an Antarctic bacterium, at a resolution of 2.09 Angstrom. In comparison with the same enzyme from a hyperthermophilic host, the cold-active enzyme has a much more accessible active site, an unusual electrostatic potential distribution and an increased relative flexibility of the small domain compared to the large domain, Several other features of the cold-active enzyme were also identified: reduced subunit interface interactions with no intersubunit ion-pair networks; loops of increased length carrying more charge and fewer proline residues; an increase in solvent-exposed hydrophobic residues; and an increase in intramolecular ion pairs. Conclusions: Enzymes from organisms living at the temperature extremes of life need to avoid hot or cold denaturation yet maintain sufficient structural integrity to allow catalytic efficiency, For hyperthermophiles, thermal denaturation of the citrate synthase dimer appears to be resisted by complex networks of ion pairs at the dimer interface, a feature common to other hyperthermophilic proteins. For the cold-active citrate synthase, cold denaturation appears to be resisted by an increase in intramolecular ion pairs compared to the hyperthermophilic enzyme, Catalytic efficiency of the cold-active enzyme appears to be achieved by a more accessible active site and by an increase in the relative flexibility of the small domain compared to the large domain.</t>
  </si>
  <si>
    <t>Univ Bath, Dept Biol &amp; Biochem, Bath BA2 7AY, Avon, England</t>
  </si>
  <si>
    <t>University of Bath</t>
  </si>
  <si>
    <t>Univ Bath, Dept Biol &amp; Biochem, Bath BA2 7AY, Avon, England.</t>
  </si>
  <si>
    <t>g.l.taylor@bath.ac.uk</t>
  </si>
  <si>
    <t>Taylor, Garry/G-3017-2014</t>
  </si>
  <si>
    <t>CELL PRESS</t>
  </si>
  <si>
    <t>CAMBRIDGE</t>
  </si>
  <si>
    <t>50 HAMPSHIRE ST, FLOOR 5, CAMBRIDGE, MA 02139 USA</t>
  </si>
  <si>
    <t>0969-2126</t>
  </si>
  <si>
    <t>1878-4186</t>
  </si>
  <si>
    <t>Structure</t>
  </si>
  <si>
    <t>10.1016/S0969-2126(98)00037-9</t>
  </si>
  <si>
    <t>Biochemistry &amp; Molecular Biology; Biophysics; Cell Biology</t>
  </si>
  <si>
    <t>ZF910</t>
  </si>
  <si>
    <t>hybrid</t>
  </si>
  <si>
    <t>WOS:000072945500011</t>
  </si>
  <si>
    <t>James, TS; Ivins, ER</t>
  </si>
  <si>
    <t>Predictions of Antarctic crustal motions driven by present-day ice sheet evolution and by isostatic memory of the Last Glacial Maximum</t>
  </si>
  <si>
    <t>JOURNAL OF GEOPHYSICAL RESEARCH-SOLID EARTH</t>
  </si>
  <si>
    <t>COMPUTING 3-DIMENSIONAL DEFORMATIONS; DEEP MANTLE VISCOSITY; SEA-LEVEL CHANGE; TRANSANTARCTIC MOUNTAINS; SURFACE LOADS; DRY VALLEYS; SPECTRAL FORMALISM; LATE WISCONSIN; NORTH-AMERICA; EARTH</t>
  </si>
  <si>
    <t>Detectable crustal motion and secular rate of change of solid-surface gravity may be produced by the Earth's response to present-day and past ice mass changes in Antarctica. Scenarios of present-day ice mass balance, previously utilized to explore the global geodetic signatures of the Antarctic ice sheet, produce elastic crustal responses that are typically bounded by uplift rates less than or equal to 5 mm/yr, horizontal motion less than or equal to 1 mm/yr, and solid-surface gravity change rates less than or equal to 1 mu Gal/yr. In a restricted locality, one scenario produces uplift rates slightly in excess of 10 mm/yr and correspondingly enhanced horizontal and gravity rates. In contrast, the viscoelastic response to ice mass changes occurring since Last Glacial Maximum (LGM) exceeds 5 mm/yr (uplift) over substantial portions of West Antarctica for a wide range of plausible choices of timing and magnitude of deglaciation and mantle viscosity. Similarly, viscoelastic gravity rate predictions exceed 1 mu Gal/yr (decrease) over large regions, confirming suggestions that a Global Positioning System (GPS) and absolute gravity-based program of crustal monitoring in Antarctica could potentially detect postglacial rebound. A published revision to the CLIMAP model of the Antarctic ice sheet at LGM, herein called the D91 model, features a substantially altered West Antarctic, ice sheet reconstruction. This revision predicts a spatial pattern of present-day crustal motion and surface gravity change that diverges strikingly from CLIMAP-based models. Peak D91 crustal rates, assuming deglaciation begins at 12 kyr and ends at 5 kyr, are around 16 mm/yr (uplift), 2 mm/yr (horizontal), and -2.5 mu Gal/yr(gravity). Tabulated crustal response predictions for selected Antarctic bedrock sites indicate critical localities in the interior of West Antarctica where expected responses are large and D91 predictions differ from CLIMAP-based models by a factor of 2 or more. Observations of the postglacial rebound signal in Antarctica might help constrain Antarctic mass balance and contribution to sea level rise over the past 20,000 years.</t>
  </si>
  <si>
    <t>Geol Survey Canada, Sidney, BC V8L 4B2, Canada; CALTECH, Jet Prop Lab, Pasadena, CA 91109 USA</t>
  </si>
  <si>
    <t>Natural Resources Canada; Lands &amp; Minerals Sector - Natural Resources Canada; Geological Survey of Canada; National Aeronautics &amp; Space Administration (NASA); NASA Jet Propulsion Laboratory (JPL); California Institute of Technology</t>
  </si>
  <si>
    <t>Geol Survey Canada, 9860 W Saanich Rd, Sidney, BC V8L 4B2, Canada.</t>
  </si>
  <si>
    <t>james@pgc.nrcan.gc.ca; eri@scn1.jpl.nasa.gov</t>
  </si>
  <si>
    <t>James, Thomas/D-9301-2013; Ivins, Erik R/C-2416-2011</t>
  </si>
  <si>
    <t>James, Thomas/0000-0001-7321-047X;</t>
  </si>
  <si>
    <t>2169-9313</t>
  </si>
  <si>
    <t>2169-9356</t>
  </si>
  <si>
    <t>J GEOPHYS RES-SOL EA</t>
  </si>
  <si>
    <t>J. Geophys. Res.-Solid Earth</t>
  </si>
  <si>
    <t>MAR 10</t>
  </si>
  <si>
    <t>B3</t>
  </si>
  <si>
    <t>10.1029/97JB03539</t>
  </si>
  <si>
    <t>Geochemistry &amp; Geophysics</t>
  </si>
  <si>
    <t>ZB383</t>
  </si>
  <si>
    <t>WOS:000072466700009</t>
  </si>
  <si>
    <t>De La Chapelle, S; Castelnau, O; Lipenkov, V; Duval, P</t>
  </si>
  <si>
    <t>Dynamic recrystallization and texture development in ice as revealed by the study of deep ice cores in Antarctica and Greenland</t>
  </si>
  <si>
    <t>SELF-CONSISTENT APPROACH; X-RAY TOPOGRAPHY; POLAR ICE; POLYCRYSTALLINE ICE; CRYSTAL SIZE; GRAIN-GROWTH; FLOW-LAW; CREEP; DEFORMATION; ALUMINUM</t>
  </si>
  <si>
    <t>The preferred c axis orientation of ice from polar ice sheets develops essentially as a result of intracrystalline slip; but dynamic recrystallization appears to alter the kinetics of the development of deformation textures and is, at high temperature, at the origin of recrystallization textures. The purpose of this work is to obtain a better understanding of recrystallization processes that occur in polar ice sheets and to clarify the relationship between dynamic recrystallization and textures. The study was based on two deep ice cores from Greenland and Antarctica, the GReenland Ice core Project (GRIP) and Vostok ice cores. The structure along the GRIP core displays normal grain growth in the first 100 m of the ice sheet and rotation recrystallization and migration recrystallization near the bottom. Only grain growth and rotation recrystallization appear to occur in the Vostok ice core. The transition between these recrystallization regimes was studied, estimating, for interglacial ice, the evolution with depth of the dislocation density. This calculation has shown the efficiency of grain boundary migration for the absorption of dislocations. At Vostok, the highest value of the dislocation density is found at a depth of about 1000 m and the continuous decrease in the dislocation density below this depth is related to the increase of the grain boundary migration rate. It is shown that the driving force required to initiate migration recrystallization is not reached in interglacial ice at Vostok. The observed textures were compared with those predicted by the self-consistent approach. Recrystallization textures are interpreted by assuming that the less stressed grains, i.e., the best oriented for basal slip, are favored by the size advantage of subgrains. The recrystallization textures are compared with those of other materials.</t>
  </si>
  <si>
    <t>Ecole Natl Super Mines, F-42100 St Etienne, France; Univ Paris 13, CNRS, Lab Proprietes Mecan &amp; Thermodynam Mat, F-93430 Villetaneuse, France; CNRS, Lab Glaciol &amp; Geophys Environm, F-38402 St Martin Dheres, France; Arctic &amp; Antarctic Res Inst, St Petersburg 199397, Russia</t>
  </si>
  <si>
    <t>IMT - Institut Mines-Telecom; Mines Saint-Etienne; Centre National de la Recherche Scientifique (CNRS); Universite Paris 13; Centre National de la Recherche Scientifique (CNRS); Arctic &amp; Antarctic Research Institute</t>
  </si>
  <si>
    <t>Ecole Natl Super Mines, 158 Cours Fauriel, F-42100 St Etienne, France.</t>
  </si>
  <si>
    <t>chapelle@sms.emse.fr; oc@lpmtm.univ-paris13.fr; aaricoop@sovam.com; duval@glaciog.ujf-grenoble.fr</t>
  </si>
  <si>
    <t>castelnau, olivier/E-7789-2011; Lipenkov, Vladimir/Q-8262-2016</t>
  </si>
  <si>
    <t>Castelnau, Olivier/0000-0001-7422-294X; Lipenkov, Vladimir/0000-0003-4221-5440</t>
  </si>
  <si>
    <t>10.1029/97JB02621</t>
  </si>
  <si>
    <t>WOS:000072466700014</t>
  </si>
  <si>
    <t>Shah, AK; Sempere, JC</t>
  </si>
  <si>
    <t>Morphology of the transition from an axial high to a rift valley at the Southeast Indian Ridge and the relation to variations in mantle temperature</t>
  </si>
  <si>
    <t>AUSTRALIAN-ANTARCTIC DISCORDANCE; MID-ATLANTIC RIDGE; EAST PACIFIC RISE; GALAPAGOS SPREADING CENTER; CRUSTAL THICKNESS; OCEAN RIDGE; PLATE BOUNDARIES; MAGMA MIGRATION; MIDOCEAN RIDGES; BENEATH</t>
  </si>
  <si>
    <t>The Southeast Indian Ridge exhibits a transition in axial morphology from an East Pacific Rise-like axial high near 100 degrees E to a Mid-Atlantic Ridge-like rift valley near 116 degrees E but spreads at a nearly constant rate of 74-76 mm/yr. Assuming that the source of this transition lies in variations in mantle temperature, we use shipboard gravity-derived crustal thickness and ridge flank depth to estimate the variations in temperature associated with the changes in morphological style. Within the transitional region, SeaBeam 2000 bathymetry shows scattered instances of highs, valleys, and split volcanic ridges at the axis. A comparison of axial morphology to abyssal hill shapes and symmetry properties suggests that this unorganized distribution is due to the ridge axis episodically alternating between an axial valley and a volcanic ridge. Axial morphology can then be divided into three classes, with distinct geographic borders: axial highs and rifted highs are observed west of a transform fault at 102 degrees 45'E; rift valleys are observed east of a transform fault at 114 degrees E; and an intermediate-style morphology which alternates between a volcanic ridge and a shallow axial valley is observed between the two. One segment, between 107 degrees and 108 degrees 30'E, forms an exception to the geographical boundaries. Gravity-derived crustal thickness and flank depth generally vary monotonically over the region, with the exception of the segment between 107 degrees E and 108 degrees 30'E. The long-wavelength variations in these properties correlate with the above morphological classification. Gravity-derived crustal thickness varies on average similar to 2 lan between the axial high and rift valley regions. The application of previous models relating crustal thickness and mantle temperature places the corresponding temperature variation at 25 degrees C-50 degrees C, depending on the model used. The average depth of ridge flanks varies by similar to 550 m over the study area. For a variation of 25 degrees-50 degrees C, thermal models of the mantle predict depth variations of 75-150 m. These values are consistent with observations when the combined contributions of crustal thickness and mantle density to ridge flank depth are considered, assuming Airy isostasy. Crustal thickness variations differ at the two transitions described above: A difference of 750 m in crustal thickness is observed at the rift valley/intermediate-style transition, suggesting small variations in crustal thickness and mantle temperature drive this transition. At the axial high-rifted high/intermediate-style transition, crustal thickness variations are not resolvable, suggesting that this transition is controlled by threshold values of crustal thickness and mantle temperature, and is perhaps related to the presence of a steady state magma chamber.</t>
  </si>
  <si>
    <t>Univ Washington, Sch Oceanog, Seattle, WA 98195 USA; Observ Midi Pyrenees, Grp Rech Geodesie Spatiale, UMR 5566, F-31400 Toulouse, France</t>
  </si>
  <si>
    <t>University of Washington; University of Washington Seattle;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</si>
  <si>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Columbia Univ, Lamont Doherty Earth Observ, Palisades, NY 10964 USA.</t>
  </si>
  <si>
    <t>ashah@ldeo.columbia.edu</t>
  </si>
  <si>
    <t>10.1029/97JB03110</t>
  </si>
  <si>
    <t>WOS:000072466700021</t>
  </si>
  <si>
    <t>Gurnis, M; Müller, RD; Moresi, L</t>
  </si>
  <si>
    <t>Cretaceous vertical motion of Australia and the Australian-Antarctic discordance</t>
  </si>
  <si>
    <t>SCIENCE</t>
  </si>
  <si>
    <t>OCEAN RIDGE; MANTLE; CONVECTION; CONTINENTS; BOUNDARY; DEPTH; SLABS</t>
  </si>
  <si>
    <t>A three-dimensional model of mantle convection in which the known history of plate tectonics is imposed predicts the anomalous Cretaceous vertical motion of Australia and the present-day distinctive geochemistry and geophysics of the Australian-Antarctic Discordance. The dynamic models infer that a subducted slab associated with the long-lived Gondwanaland-Pacific converging margin passed beneath Australia during the Cretaceous, partially stagnated in the mantle transition zone, and is presently being drawn up by the Southeast Indian Ridge.</t>
  </si>
  <si>
    <t>CALTECH, Seismol Lab, Pasadena, CA 91125 USA; Univ Sydney, Dept Geol &amp; Geophys, Sydney, NSW 2006, Australia; Commonwealth Sci &amp; Ind Res Org Explorat &amp; Min, Australian Geodynam Cooperat Res Ctr, Nedlands, WA 6009, Australia</t>
  </si>
  <si>
    <t>California Institute of Technology; University of Sydney; Commonwealth Scientific &amp; Industrial Research Organisation (CSIRO)</t>
  </si>
  <si>
    <t>CALTECH, Seismol Lab, Pasadena, CA 91125 USA.</t>
  </si>
  <si>
    <t>gurnis@caltech.edu; dietmar@es.su.oz.au; louis@ned.dem.csiro.au</t>
  </si>
  <si>
    <t>Müller, Dietmar/L-1200-2019; Moresi, Louis/H-1390-2011</t>
  </si>
  <si>
    <t>Müller, Dietmar/0000-0002-3334-5764; Moresi, Louis/0000-0003-3685-174X</t>
  </si>
  <si>
    <t>AMER ASSOC ADVANCEMENT SCIENCE</t>
  </si>
  <si>
    <t>1200 NEW YORK AVE, NW, WASHINGTON, DC 20005 USA</t>
  </si>
  <si>
    <t>0036-8075</t>
  </si>
  <si>
    <t>1095-9203</t>
  </si>
  <si>
    <t>Science</t>
  </si>
  <si>
    <t>MAR 6</t>
  </si>
  <si>
    <t>10.1126/science.279.5356.1499</t>
  </si>
  <si>
    <t>Multidisciplinary Sciences</t>
  </si>
  <si>
    <t>Science &amp; Technology - Other Topics</t>
  </si>
  <si>
    <t>ZA527</t>
  </si>
  <si>
    <t>WOS:000072372900056</t>
  </si>
  <si>
    <t>Stauffer, B; Blunier, T; Dällenbach, A; Indermühle, A; Schwander, J; Stocker, TF; Tschumi, J; Chappellaz, J; Raynaud, D; Hammer, CU; Clausen, HB</t>
  </si>
  <si>
    <t>Atmospheric CO2 concentration and millennial-scale climate change during the last glacial period</t>
  </si>
  <si>
    <t>NATURE</t>
  </si>
  <si>
    <t>ICE-CORE; NORTH-ATLANTIC; GREENLAND ICE; RECORD; BP</t>
  </si>
  <si>
    <t>The analysis of air bubbles trapped in polar ice has permitted the reconstruction of past atmospheric concentrations of CO2 over various timescales, and revealed that large climate changes over tens of thousands of years are generally accompanied by changes in atmospheric CO2 concentrations(1). But the extent to which such covariations occur for fast, millennial-scale climate shifts, such as the Dansgaard-Oeschger events recorded in Greenland ice cores during the last glacial period(2), is unresolved; CO2 data from Greenland(3) and Antarctic(4) ice cores have been conflicting in this regard, More recent work suggests that Antarctic ice should provide a more reliable CO2 record, as the higher dust(5) content of Greenland ice can give rise to artefacts(1,6,7). To compare the rapid climate changes recorded in the Greenland ice with the global trends in atmospheric CO2 concentrations as recorded in the Antarctic ice, an accurate common timescale is needed. Here we provide such a timescale for the last glacial period using the records of global atmospheric methane concentrations from both Greenland and Antarctic ice. We find that the atmospheric concentration of CO2 generally varied little with Dansgaard-Oeschger events (&lt;10 parts per million by volume, p.p.m.v.) but varied significantly with Heinrich iceberg-discharge events (similar to 20 p.p.m.v.), especially those starting with a long-lasting Dansgaard-Oeschger event.</t>
  </si>
  <si>
    <t>Univ Bern, Inst Phys, CH-3012 Bern, Switzerland; CNRS, Lab Glaciol LGGE, F-38402 St Martin Dheres, France; Univ Copenhagen, Dept Geophys, DK-2100 Copenhagen, Denmark</t>
  </si>
  <si>
    <t>University of Bern; Centre National de la Recherche Scientifique (CNRS); University of Copenhagen</t>
  </si>
  <si>
    <t>Stauffer, B (corresponding author), Univ Bern, Inst Phys, Sidlerstr 5, CH-3012 Bern, Switzerland.</t>
  </si>
  <si>
    <t>raynaud, dominique/ABG-4718-2020; Chappellaz, Jérôme A./A-4872-2011; Raynaud, Dominique/H-9626-2016; Clausen, Helene/AAU-8786-2020; Stocker, Thomas F/B-1273-2013; Blunier, Thomas/M-4609-2014</t>
  </si>
  <si>
    <t>Blunier, Thomas/0000-0002-6065-7747</t>
  </si>
  <si>
    <t>MACMILLAN MAGAZINES LTD</t>
  </si>
  <si>
    <t>LONDON</t>
  </si>
  <si>
    <t>PORTERS SOUTH, 4 CRINAN ST, LONDON, ENGLAND N1 9XW</t>
  </si>
  <si>
    <t>0028-0836</t>
  </si>
  <si>
    <t>Nature</t>
  </si>
  <si>
    <t>MAR 5</t>
  </si>
  <si>
    <t>10.1038/32133</t>
  </si>
  <si>
    <t>ZA528</t>
  </si>
  <si>
    <t>WOS:000072373000047</t>
  </si>
  <si>
    <t>Walton, DWH</t>
  </si>
  <si>
    <t>Protecting the Antarctic - The Protocol becomes law</t>
  </si>
  <si>
    <t>ANTARCTIC SCIENCE</t>
  </si>
  <si>
    <t>Editorial Material</t>
  </si>
  <si>
    <t>BLACKWELL SCIENCE LTD</t>
  </si>
  <si>
    <t>OXFORD</t>
  </si>
  <si>
    <t>P O BOX 88, OSNEY MEAD, OXFORD OX2 0NE, OXON, ENGLAND</t>
  </si>
  <si>
    <t>0954-1020</t>
  </si>
  <si>
    <t>ANTARCT SCI</t>
  </si>
  <si>
    <t>Antarct. Sci.</t>
  </si>
  <si>
    <t>MAR</t>
  </si>
  <si>
    <t>Environmental Sciences; Geography, Physical; Geosciences, Multidisciplinary</t>
  </si>
  <si>
    <t>Environmental Sciences &amp; Ecology; Physical Geography; Geology</t>
  </si>
  <si>
    <t>ZE131</t>
  </si>
  <si>
    <t>WOS:000072760800001</t>
  </si>
  <si>
    <t>Brandt, A; Muhlenhardt-Siegel, U; Siegel, V</t>
  </si>
  <si>
    <t>An account of the Mysidacea (Crustacea, Malacostraca) of the Southern Ocean</t>
  </si>
  <si>
    <t>Antarctic; biogeography; endemism; Mysidacea; origin; taxonomy</t>
  </si>
  <si>
    <t>DECAPODA; KRILL; SEA</t>
  </si>
  <si>
    <t>An inventory of Antarctic and Subantarctic mysid fauna is presented, together with a summary of the present state of knowledge of species and their taxonomic diversity, geographic and bathymetric distribution patterns. Fifty nine species of Mysidacea (Crustacea, Peracarida) are now known. Of these, 37 were reported for the Antarctic region and 31 for the Magellan region; six species occur further north in the Southern Ocean, but south of 40 degrees S. 51% of the Antarctic Mysidacea are endemic, and the figure for the Magellan region is 48%. Most of the species live hyperbenthically, but some also occur bathy- or mesopelagically. Mysidetes has the most species in the Southern Ocean, and Eucopia australis is the species with the widest bathymetric distribution (600-6000 m depth). It is concluded that an emergence of species onto the Antarctic shelf in the Neogene was quite unlikely, because none of the mysid species is a true deepsea species, and most species occur on the shelf or at the shelf break. It is more probable that present day species colonized the Southern Ocean via shallower waters. The examples of the distribution of different genera suggest that the Mysidacea of the Southern Ocean probably had various geographical origins.</t>
  </si>
  <si>
    <t>Univ Hamburg, Inst Zool, D-20146 Hamburg, Germany; Univ Hamburg, Zool Museum, D-20146 Hamburg, Germany; Fed Res Ctr Fisheries, D-22767 Hamburg, Germany</t>
  </si>
  <si>
    <t>University of Hamburg; University of Hamburg</t>
  </si>
  <si>
    <t>Brandt, A (corresponding author), Univ Hamburg, Inst Zool, Martin Luther King Pl 3, D-20146 Hamburg, Germany.</t>
  </si>
  <si>
    <t>Brandt, Angelika/C-1630-2018</t>
  </si>
  <si>
    <t>10.1017/S0954102098000029</t>
  </si>
  <si>
    <t>WOS:000072760800002</t>
  </si>
  <si>
    <t>Hodgson, DA; Dyson, CL; Jones, VJ; Smellie, JL</t>
  </si>
  <si>
    <t>Tephra analysis of sediments from Midge Lake (South Shetland Islands) and Sombre Lake (South Orkney Islands), Antarctica</t>
  </si>
  <si>
    <t>Deception Island; lakes; Livingston Island; palaeolimnology; Signy Island; tephra; volcanoes</t>
  </si>
  <si>
    <t>SIGNY ISLAND; LIVINGSTON-ISLAND; SCOTLAND</t>
  </si>
  <si>
    <t>Lake sediment cores from Midge Lake, Livingston Island, South Shetland Islands and Sombre Lake, Signy Island, South Orkney Islands were analysed for volcanic tephra using light microscopy and magnetic susceptibility. Cores were dated using published (14)C and (210)Pb chronologies. Electron probe microanalyses of discrete tephra glass shards were undertaken to characterise the tephra geochemically in order to identify possible source volcanoes and refine tephrochronological data for the region. Results identified five tephra horizons in a core from Midge Lake. Four of these tephra at 3-4 cm, 8-9 cm (c. 450 yr BP), 15-16 cm (c. 755 +/- 1.05 yr BP) and 21-22 cm (c. 1340 +/- 100 yr sp) consisted of sodic basaltic to basaltic-andesitic glasses, containing abundant labradoritic feldspar inclusions, and a single 'acidic' tephra was found at 2-3 cm. Seven tephra horizons were identified in the Sombre Lake core including three basaltic tephra at 3-9 cm (30 +/- 4 yr BP to 125 +/- 25 yr BP), 31-32 cm and 44-46 cm (1325 +/- 50 (14)C yr BP) and four acidic tephra at 21-22 cm and 24-25 cm, 33-36 cm (c. 1021 (14)C yr BP) and 54-56 cm(c. 1450 (14)C yr BP). These are the first tephra to be identified from the South Orkney Islands. Geochemical and grain size analysis indicated that the analysed Midge Lake tephra were derived from the Quaternary Deception Island volcano. Smaller grain sizes, congruent geochemical data and prevailing wind directions also indicate this volcano as the Likely source of Sombre Lake tephra. Results highlight the importance of establishing geochemical consistency between tephra deposited across wide geographical areas, during apparently synchronous time periods, if they are to be used in a regional tephrochronology.</t>
  </si>
  <si>
    <t>British Antarctic Survey, Nat Environm Res Council, Cambridge CB3 0ET, England; UCL, Dept Geog, Environm Change Res Ctr, London WC1H 0AP, England</t>
  </si>
  <si>
    <t>UK Research &amp; Innovation (UKRI); Natural Environment Research Council (NERC); NERC British Antarctic Survey; University of London; University College London</t>
  </si>
  <si>
    <t>Hodgson, DA (corresponding author), British Antarctic Survey, Nat Environm Res Council, Madingley Rd, Cambridge CB3 0ET, England.</t>
  </si>
  <si>
    <t>CAMBRIDGE UNIV PRESS</t>
  </si>
  <si>
    <t>NEW YORK</t>
  </si>
  <si>
    <t>32 AVENUE OF THE AMERICAS, NEW YORK, NY 10013-2473 USA</t>
  </si>
  <si>
    <t>10.1017/S0954102098000030</t>
  </si>
  <si>
    <t>WOS:000072760800003</t>
  </si>
  <si>
    <t>Jonker, FC; Bester, MN</t>
  </si>
  <si>
    <t>Seasonal movements and foraging areas of adult southern female elephant seals, Mirounga leonina, from Marion Island</t>
  </si>
  <si>
    <t>bathymetry; elephant seals; foraging; Marion Island; movements</t>
  </si>
  <si>
    <t>DIVING BEHAVIOR; HALICHOERUS-GRYPUS; WATER TEMPERATURE; ANGUSTIROSTRIS; MIGRATIONS; OCEAN</t>
  </si>
  <si>
    <t>Seasonal movements and foraging areas of postbreeding (n = 9) and postmoulting (n = 3) adult southern elephant seal females from Marion Island were studied using Geolocation Time-depth Recorders. Movements were classified into three phases - an outbound transit phase, distant foraging phase, and an inbound transit phase. The longest residence time of postbreeding females during their foraging migrations was in areas at the outer edge of their feeding range (+/- 1460 km) both to the north and south of the island, largely within inter-frontal zones south of the Antarctic Polar Front (APF) and between the Sub-Tropical Convergence (STC) and the Sub-Antarctic Front(SAF). Postmoulting females travelled further afield (2122-3133 km distant) to the APF, to inter-frontal zones south of the APF (within the pack ice outer edge), as well as to the Antarctic Continental Shelf. This study provides additional information on the putative function of dive types in relation to the movement phases of elephant seal females from Marion Island. The relative frequency of assumed 'foraging', 'exploratory' and 'transit' dive types, as well as the duration and location of the different phases of movement suggest two seasonal foraging strategies. Sea floor topography could possibly cue the transit phases of both postbreeding and postmoulting females from Marion Island.</t>
  </si>
  <si>
    <t>Univ Pretoria, Dept Zool &amp; Entomol, ZA-0002 Pretoria, South Africa</t>
  </si>
  <si>
    <t>University of Pretoria</t>
  </si>
  <si>
    <t>Jonker, FC (corresponding author), Univ Pretoria, Dept Zool &amp; Entomol, ZA-0002 Pretoria, South Africa.</t>
  </si>
  <si>
    <t>Bester, Marthán N/E-5387-2010</t>
  </si>
  <si>
    <t>10.1017/S0954102098000042</t>
  </si>
  <si>
    <t>WOS:000072760800004</t>
  </si>
  <si>
    <t>McKay, CP; Mellon, MT; Friedmann, EI</t>
  </si>
  <si>
    <t>Soil temperatures and stability of ice-cemented ground in the McMurdo Dry Valleys, Antarctica</t>
  </si>
  <si>
    <t>climate change; dry valleys; ice-cemented ground; Linnaeus Terrace</t>
  </si>
  <si>
    <t>CRYPTOENDOLITHIC MICROBIAL ENVIRONMENT; ROSS DESERT; PERMAFROST; REGION</t>
  </si>
  <si>
    <t>Year-round temperature measurements at 1600 m elevation during 1994 in the Asgard Range Antarctica, indicate that the mean annual frost point of the ice-cemented ground, 25 cm below the surface, is -21.7 +/- 0.2 degrees C and the mean annual frost point of the atmosphere is -27.5 +/- 1.0 degrees C. The corresponding mean annual temperatures are -24.9 degrees C and -23.3 degrees C. These results imply that there is a net flux of water vapour from the ice to the atmosphere resulting in a recession of the ice-cemented ground by about 0.4-0.6 mm yr(1). The level of the ice-cemented permafrost is about 12 cm below the level of dry permafrost. The summer air temperatures would have to increase about 7 degrees C for thawing temperatures to just reach the top of the subsurface ice. Either subsurface ice at this location is evaporating over time or there are sporadic processes that recharge the ice and maintain equilibrium over long timescales.</t>
  </si>
  <si>
    <t>NASA, Ames Res Ctr, Div Space Sci, Moffett Field, CA 94035 USA; Florida State Univ, Dept Biol Sci, Tallahassee, FL 32306 USA</t>
  </si>
  <si>
    <t>National Aeronautics &amp; Space Administration (NASA); NASA Ames Research Center; State University System of Florida; Florida State University</t>
  </si>
  <si>
    <t>McKay, CP (corresponding author), NASA, Ames Res Ctr, Div Space Sci, Moffett Field, CA 94035 USA.</t>
  </si>
  <si>
    <t>Mellon, Michael T/C-3456-2016</t>
  </si>
  <si>
    <t>McKay, Christopher/0000-0002-6243-1362</t>
  </si>
  <si>
    <t>10.1017/S0954102098000054</t>
  </si>
  <si>
    <t>WOS:000072760800005</t>
  </si>
  <si>
    <t>McMinn, A; Ashworth, C</t>
  </si>
  <si>
    <t>The use of oxygen microelectrodes to determine the net production by an Antarctic sea ice algal community</t>
  </si>
  <si>
    <t>Antarctic; fast ice; oxygen microelectrodes; photosynthesis; sea ice algae</t>
  </si>
  <si>
    <t>DIFFUSIVE BOUNDARY-LAYER; MCMURDO-SOUND; MICROBIAL MAT; MICROALGAL COMMUNITY; CARBON ASSIMILATION; EAST-ANTARCTICA; PHOTOSYNTHESIS; SEDIMENTS; BLOOM; LIGHT</t>
  </si>
  <si>
    <t>Oxygen microelectrodes were used to measure the photosynthetic rates of Antarctic fast ice algal mats. Using the oxygen flux across the diffusive boundary layer below the fast ice at Davis, a productivity range of 0-1.78 mg C m(-2) h(-1) was measured. This is at the lower end of fast ice productivity estimates and suggests that conventional C-14 techniques may overestimate sea ice algal mat productivity. Photosynthetic capacity (P-max) approached 0.05 mg C. (mg chl a)(-1) h(-1). Onset of photosynthesis saturation, E-k, was found at c. 14 mu mol photons m(-2) s(-1). The irradiance of photoinhibition onset, E-inh, was c. 20 mu mol photons m(-2) s(-1) and the irradiance at the compensation point, E-c, was 4 mu mol photons m(-2) s(-1).</t>
  </si>
  <si>
    <t>Univ Tasmania, Inst Antarctic &amp; So Ocean Studies, Hobart, Tas 7001, Australia; Univ Tasmania, Dept Plant Sci, Hobart, Tas 7001, Australia</t>
  </si>
  <si>
    <t>University of Tasmania; University of Tasmania</t>
  </si>
  <si>
    <t>McMinn, A (corresponding author), Univ Tasmania, Inst Antarctic &amp; So Ocean Studies, Box 252C, Hobart, Tas 7001, Australia.</t>
  </si>
  <si>
    <t>andrew.mcminn@utas.edu.au</t>
  </si>
  <si>
    <t>McMinn, Andrew/A-9910-2008</t>
  </si>
  <si>
    <t>10.1017/S0954102098000066</t>
  </si>
  <si>
    <t>WOS:000072760800006</t>
  </si>
  <si>
    <t>Moline, MA; Schofield, O; Boucher, NP</t>
  </si>
  <si>
    <t>Photosynthetic parameters and empirical modelling of primary production: A case study on the Antarctic Peninsula shelf</t>
  </si>
  <si>
    <t>Antarctic Peninsula; photosynthesis-irradiance; phytoplankton; primary productivity; Southern Ocean; temporal variability</t>
  </si>
  <si>
    <t>SOUTHERN-CALIFORNIA BIGHT; DIEL PERIODICITY; PHYTOPLANKTON PHOTOSYNTHESIS; IRRADIANCE RELATIONSHIPS; MARINE-PHYTOPLANKTON; POLAR PHYTOPLANKTON; OPTICAL VARIABILITY; HIGH-RESOLUTION; MCMURDO SOUND; ARTHUR HARBOR</t>
  </si>
  <si>
    <t>Eight hundred photosynthesis-irradiance relationships were determined in the shelf waters adjacent to Palmer Station, Antarctica during the spring/summer periods of 1991-94. Biomass specific maximum photosynthetic rate, P-max(B), and the light limited photosynthetic efficiency, alpha(B), were poorly correlated to the physical forcing and nutrient regimes at the sampling stations. The two photosynthetic parameters, however, did strongly covary indicating the minimum irradiance required to saturate photosynthesis, I-k, was relatively constant in this highly variable environment. The variability in I-k could partially be attributed to both depth in the water column and time of the year, with the highest values occurring for surface samples during the summer period of peak incident irradiance. Given this and the significant dependence of P-max on phytoplankton biomass, a simple empirical model for primary productivity was developed. An independent test of the model was performed on data collected in a mesoscale offshore grid and predicted primary production was found to be within 13% of measured values. Although there are limitations to this approach (i.e. exclusion of diel periodicity in photosynthetic response), these results provide relatively robust estimates of daily primary production for the Southern Ocean.</t>
  </si>
  <si>
    <t>Calif Polytech State Univ San Luis Obispo, Dept Biol Sci, San Luis Obispo, CA 93407 USA; Rutgers State Univ, Inst Marine &amp; Coastal Sci, New Brunswick, NJ 08903 USA; Univ Reunion, Lab Ecol Marine, F-97715 St Denis, Reunion, France</t>
  </si>
  <si>
    <t>California State University System; California Polytechnic State University San Luis Obispo; Rutgers University System; Rutgers University New Brunswick; University of La Reunion</t>
  </si>
  <si>
    <t>Calif Polytech State Univ San Luis Obispo, Dept Biol Sci, San Luis Obispo, CA 93407 USA.</t>
  </si>
  <si>
    <t>Schofield, Oscar/H-4169-2018</t>
  </si>
  <si>
    <t>Schofield, Oscar/0000-0003-2359-4131</t>
  </si>
  <si>
    <t>1365-2079</t>
  </si>
  <si>
    <t>10.1017/S0954102098000078</t>
  </si>
  <si>
    <t>WOS:000072760800007</t>
  </si>
  <si>
    <t>Pakhomov, EA</t>
  </si>
  <si>
    <t>Diet of two Antarctic dragonfish (Pisces: Bathydraconidae) from the Indian sector of the Southern Ocean</t>
  </si>
  <si>
    <t>Antarctica; Bathydraconidae; diet; feeding ecology; Indian Ocean sector</t>
  </si>
  <si>
    <t>FISH; SEA</t>
  </si>
  <si>
    <t>The diet of Cygnodraco mawsoni Waite 1916 and Gymnodraco acuticeps Boulenger 1902 (Pisces: Bathydraconidae) was studied in the Cooperation and Cosmonaut seas in the depth range 200-400 m during the summer 1988. Stomach content analysis showed that both species are piscivorous predators but with different feeding habits. Cygnodraco mawsoni fed mostly on young notothenioid fish, regularly complementing these with pelagic, Euphausia superba, and benthic crustaceans, such as amphipod gammarids and mysids. In contrast, G. acuticeps relied mostly on mesopelagic fish of the family Myctophidae. Although C. mawsoni and G. acuticeps occupy similar depths in the Cosmonaut Sea, different feeding habits appear to limit the probability of interspecific competition for food.</t>
  </si>
  <si>
    <t>Rhodes Univ, Dept Zool &amp; Entomol, So Ocean Grp, ZA-6140 Grahamstown, South Africa</t>
  </si>
  <si>
    <t>Rhodes University</t>
  </si>
  <si>
    <t>Pakhomov, EA (corresponding author), Rhodes Univ, Dept Zool &amp; Entomol, So Ocean Grp, POB 94, ZA-6140 Grahamstown, South Africa.</t>
  </si>
  <si>
    <t>10.1017/S095410209800008X</t>
  </si>
  <si>
    <t>WOS:000072760800008</t>
  </si>
  <si>
    <t>Russell, NC; Edwards, HGM; Wynn-Williams, DD</t>
  </si>
  <si>
    <t>FT-Raman spectroscopic analysis of endolithic microbial communities from Beacon sandstone in Victoria Land, Antarctica</t>
  </si>
  <si>
    <t>algae; Antarctic; cyanobacteria; endolithic; fungi; lichen; oxalate; Raman spectroscopy</t>
  </si>
  <si>
    <t>COLD DESERT; MICROORGANISMS; ENCRUSTATIONS; OXALATE</t>
  </si>
  <si>
    <t>Laser-based Fourier-Transform Raman spectroscopy (FTRS) has been used to identify in situ compounds of ecophysiological significance in diverse field-fresh Antarctic cryptoendolithic microbial communities. FTRS does not disrupt the community and permits characterization of visible and invisible compounds in their natural configuration within cells and their current or former microhabitat. The small footprint of the microscopic laser beam permits accurate analysis of discrete zones of compounds produced by extant or degraded micro-organisms with minimum destruction of the biota. This spatial chemical analysis is applicable to any translucent or exposed habitat or biotic assemblage. Two hydrated forms of biodegradative calcium oxalate were differentiated in black-pigmented and hyaline lichen zones of endolithic communities. The oxalate was restricted to zones containing fungi. Communities dominated by cyanobacteria at Battleship Promontory (77 degrees S) and a newly discovered site at Timber Peak (74 degrees S) contrasted chemically with those dominated by eukaryotic algae at East Beacon (78 degrees S). FTRS also showed the zonation of pigments including chlorophyll and UV-protective carotenoids in situ. At extreme sites on the polar plateau, it revealed the presence of fossil endolithics where detrimental climatic changes had made the microbes non-viable or amorphous, being represented solely by their residual bio-molecules. The technique has potential for past or present life-detection anywhere in the world without destruction of the microniche.</t>
  </si>
  <si>
    <t>British Antarctic Survey, Nat Environm Res Council, Cambridge CB3 0ET, England; Univ Bradford, Dept Chem &amp; Chem Technol, Bradford BD7 1DP, W Yorkshire, England</t>
  </si>
  <si>
    <t>UK Research &amp; Innovation (UKRI); Natural Environment Research Council (NERC); NERC British Antarctic Survey; University of Bradford</t>
  </si>
  <si>
    <t>Wynn-Williams, DD (corresponding author), British Antarctic Survey, Nat Environm Res Council, Madingley Rd, Cambridge CB3 0ET, England.</t>
  </si>
  <si>
    <t>10.1017/S0954102098000091</t>
  </si>
  <si>
    <t>WOS:000072760800009</t>
  </si>
  <si>
    <t>Walker, TR; Boyd, IL; McCafferty, DJ; Huin, N; Taylor, RI; Reid, K</t>
  </si>
  <si>
    <t>Seasonal occurrence and diet of leopard seals (Hydrurga leptonyx) at Bird Island, South Georgia</t>
  </si>
  <si>
    <t>abundance; diet; fur seal; leopard seal; penguin; predation; seasonality; South Georgia</t>
  </si>
  <si>
    <t>ARCTOCEPHALUS-GAZELLA; CRABEATER SEALS; PHOCID SEALS; CRAB-EATER; WINTER</t>
  </si>
  <si>
    <t>Seasonal haul-out patterns and diet of individually marked leopard seals (Hydrurga leptonyx) were investigated at Bird Island, South Georgia during the 1983-96 winters. A total of 2956 leopard seal sightings were made, and 121 seals were tagged during the study, mainly between 1993 and 1996. Photographs of scars and pelage patterns were also used to identify a subset of these individuals across years, which provided no evidence of tag loss between or within years. Leopard seals were observed between April and November; the mean time between the first and last sightings in each year was 208 d (s d +/- 48). Between 1993-96, eight seals were resident around the island for more than 100 d, and the longest recorded residence was 130 d. The proportion of tagged seals resighted was 0.35 and 0.17 in 1995 and 1996 respectively. Based on estimates of body length, &lt;5% of the seals were juveniles (0-1 years) and &gt;70% were not sexually mature. There was considerable inter-annual variation in abundance, with a maximum of 502 sightings during 1994, compared with a minimum of 21 during 1986 and 1989. Antarctic fur seals (Arctocephalus gazella) were the main prey item (58% of kills observed and 53% of seats). Other items included penguins (28% of kills observed and 20% of seats) and fish (24% of seats). Antarctic krill (Euphausia superba), southern elephant seals (Mirounga leonina) and seabirds other than penguins were also present in the diet in small quantities.</t>
  </si>
  <si>
    <t>British Antarctic Survey, Nat Environm Res Council, Cambridge CB3 0ET, England</t>
  </si>
  <si>
    <t>UK Research &amp; Innovation (UKRI); Natural Environment Research Council (NERC); NERC British Antarctic Survey</t>
  </si>
  <si>
    <t>Boyd, IL (corresponding author), British Antarctic Survey, Nat Environm Res Council, Madingley Rd, Cambridge CB3 0ET, England.</t>
  </si>
  <si>
    <t>Walker BSc, MPhil, PhD, Tony R./ABA-4581-2020</t>
  </si>
  <si>
    <t>Walker BSc, MPhil, PhD, Tony R./0000-0001-9008-0697; McCafferty, Dominic/0000-0002-3079-3326</t>
  </si>
  <si>
    <t>10.1017/S0954102098000108</t>
  </si>
  <si>
    <t>WOS:000072760800010</t>
  </si>
  <si>
    <t>Cione, AL; Reguero, MA</t>
  </si>
  <si>
    <t>A middle Eocene basking shark (Lamniformes, Cetorhinidae) from Antarctica.</t>
  </si>
  <si>
    <t>Antarctica; Cetorhinus; Elasmobranchii; Eocene; Lamniformes</t>
  </si>
  <si>
    <t>SEYMOUR ISLAND</t>
  </si>
  <si>
    <t>A proximal fragment of a gill raker identified as belonging to a shark of the genus Cetorhinus was collected from middle Eocene deposits of the La Meseta Formation in the northern part of Seymour Island, Antarctica. This is the first record of a fossil basking shark from Antarctica and one of the earliest records of the genus. The minimum age of Cetorhinidae is middle Eocene. The only living species of the family Cetorhinidae is a very large plankton feeder, Cetorhinus maximus. Basking sharks are unknown in subantarctic or Antarctic waters but occur on both South American coasts today. The evolution of filter-feeding vertebrates is discussed.</t>
  </si>
  <si>
    <t>Museo La Plata, Dept Cient Paleontol Vertebrados, RA-1900 La Plata, Argentina</t>
  </si>
  <si>
    <t>National University of La Plata; Museo La Plata</t>
  </si>
  <si>
    <t>Museo La Plata, Dept Cient Paleontol Vertebrados, Paseo Bosque S-N, RA-1900 La Plata, Argentina.</t>
  </si>
  <si>
    <t>museo@isis.unlp.edu.ar</t>
  </si>
  <si>
    <t>10.1017/S095410209800011X</t>
  </si>
  <si>
    <t>WOS:000072760800011</t>
  </si>
  <si>
    <t>Gera, BS; Argentini, S; Mastrantonio, G; Viola, A; Weill, A</t>
  </si>
  <si>
    <t>Characteristics of the boundary layer thermal structure at a coastal region of Adelie Land, East Antarctica</t>
  </si>
  <si>
    <t>Antarctica; boundary layer; inversion; katabatic winds; sodar; spiky layer</t>
  </si>
  <si>
    <t>WINDS; SODAR</t>
  </si>
  <si>
    <t>The boundary layer thermal structure, observed through Doppler sodar, at Dumont d'Urville, has been analysed. Typical echograms of the spiky layers, wavy layers and thermal plumes, except for the eroding inversion, have been observed. The annual distribution of these thermal structures is presented. The spiky layers are observed to coincide with strong winds (mainly katabatic) flowing from the inner continent sector, 90 degrees-180 degrees. The upper boundary of the spiky layers is correlated to the wind direction; the maximum depths (more than 400 m) are confined to 60 degrees wide span centred at 135 degrees. The predominant waves and the spiky layers, tend to occur alternately in accordance with the relative dominance of the katabatic flow intensity and the stability conditions. The sodar signatures of these structures are examined in relation to the onset and dissipation time, duration and the seasonal distribution. Both waves and spiky layers occur at any hour of the day; their maximum occurrence is in winter months. The persistence of the waves varies from a couple of hours to a couple of days while the spiky layers can occur for periods even longer than 3-4 days. The characteristics of these phenomena are associated with the diurnal radiational cycle and the temperature contrast in proximity to the coast.</t>
  </si>
  <si>
    <t>CNR, Ist Fis Atmosfera, I-00133 Rome, Italy; CETP, CNRS, F-78140 Velizy, France; Natl Phys Lab, New Delhi 110012, India</t>
  </si>
  <si>
    <t>Consiglio Nazionale delle Ricerche (CNR); Centre National de la Recherche Scientifique (CNRS); Council of Scientific &amp; Industrial Research (CSIR) - India; CSIR - National Physical Laboratory (NPL)</t>
  </si>
  <si>
    <t>Gera, BS (corresponding author), CNR, Ist Fis Atmosfera, Via Fosso Cavaliere, I-00133 Rome, Italy.</t>
  </si>
  <si>
    <t>viola, angelo p/C-7184-2015</t>
  </si>
  <si>
    <t>viola, angelo pietro/0000-0002-6545-7496; ARGENTINI, STEFANIA/0000-0002-7939-0309</t>
  </si>
  <si>
    <t>10.1017/S0954102098000121</t>
  </si>
  <si>
    <t>WOS:000072760800012</t>
  </si>
  <si>
    <t>Feller, G; Le Bussy, O; Gerday, C</t>
  </si>
  <si>
    <t>Expression of psychrophilic genes in mesophilic hosts:: Assessment of the folding state of a recombinant α-amylase</t>
  </si>
  <si>
    <t>APPLIED AND ENVIRONMENTAL MICROBIOLOGY</t>
  </si>
  <si>
    <t>SEQUENCE; SUBTILISIN; NUCLEOTIDE</t>
  </si>
  <si>
    <t>alpha-Amylase from the antarctic psychrophile Alteromonas haloplanktis is synthesized at 0 +/- 2 degrees C by the wild strain. This heat-labile alpha-amylase folds correctly when overexpressed in Escherichia coli, providing the culture temperature is sufficiently low to avoid irreversible denaturation. In the described expression system, a compromise between enzyme stability and E. coli growth rate is reached at 18 degrees C.</t>
  </si>
  <si>
    <t>Univ Liege, Inst Chem, Biochem Lab, B-4000 Liege, Belgium</t>
  </si>
  <si>
    <t>University of Liege</t>
  </si>
  <si>
    <t>Univ Liege, Inst Chem B6, Biochem Lab, B-4000 Liege, Belgium.</t>
  </si>
  <si>
    <t>gfeller@ulg.ac.be</t>
  </si>
  <si>
    <t>AMER SOC MICROBIOLOGY</t>
  </si>
  <si>
    <t>1752 N ST NW, WASHINGTON, DC 20036-2904 USA</t>
  </si>
  <si>
    <t>0099-2240</t>
  </si>
  <si>
    <t>1098-5336</t>
  </si>
  <si>
    <t>APPL ENVIRON MICROB</t>
  </si>
  <si>
    <t>Appl. Environ. Microbiol.</t>
  </si>
  <si>
    <t>Biotechnology &amp; Applied Microbiology; Microbiology</t>
  </si>
  <si>
    <t>YZ798</t>
  </si>
  <si>
    <t>WOS:000072292700057</t>
  </si>
  <si>
    <t>Marshall, WA</t>
  </si>
  <si>
    <t>Seasonality in Antarctic airborne fungal spores (vol 63, pg 2243, 1997)</t>
  </si>
  <si>
    <t>Correction</t>
  </si>
  <si>
    <t>British Antarctic Survey, NERC, Cambridge CB3 0ET, England</t>
  </si>
  <si>
    <t>Marshall, WA (corresponding author), British Antarctic Survey, NERC, Cambridge CB3 0ET, England.</t>
  </si>
  <si>
    <t>1325 MASSACHUSETTS AVENUE, NW, WASHINGTON, DC 20005-4171 USA</t>
  </si>
  <si>
    <t>WOS:000072292700061</t>
  </si>
  <si>
    <t>Bianco, R; Gertner, BJ; Hynes, JT</t>
  </si>
  <si>
    <t>Proton transfer reactions at the surface of ice. Heterogeneous reactions involved in stratospheric ozone depletion</t>
  </si>
  <si>
    <t>BERICHTE DER BUNSEN-GESELLSCHAFT-PHYSICAL CHEMISTRY CHEMICAL PHYSICS</t>
  </si>
  <si>
    <t>Article; Proceedings Paper</t>
  </si>
  <si>
    <t>International Autumn Bunsen Discussion Meeting on Hydrogen Transfer - Theory and Experiment</t>
  </si>
  <si>
    <t>SEP 10-13, 1997</t>
  </si>
  <si>
    <t>BERLIN, GERMANY</t>
  </si>
  <si>
    <t>adsorption; chemical kinetics; ionization; molecular interactions; molecular structure; surfaces</t>
  </si>
  <si>
    <t>MOLECULAR-ORBITAL METHODS; NITRIC-ACID TRIHYDRATE; GAUSSIAN-TYPE BASIS; VALENCE BASIS-SETS; ANTARCTIC OZONE; CHLORINE NITRATE; HYDROGEN-CHLORIDE; ORGANIC-MOLECULES; 2ND-ROW ELEMENTS; 1ST-ROW ELEMENTS</t>
  </si>
  <si>
    <t>Two heterogeneous reactions on an ice surface that are relevant in connection with stratospheric ozone depletion are discussed theoretically: the hydrolysis of chlorine nitrate, ClONO2, to produce HOCl and HNO3, and the acid ionization of hydrochloric acid HCl. For the former, a recently proposed proton transfer mechanism actively involving the ice lattice is supported by examination of the ClONO2 hydrolysis energetics when proton transfer is prevented. For the latter, a previously proposed picture of facile HCl ionization at, but not on, the ice surface is supported by the results of a quantum treatment of the proton and of a model investigation of the free energetics of ionization atop the ice surface.</t>
  </si>
  <si>
    <t>Univ Colorado, Dept Chem &amp; Biochem, Boulder, CO 80309 USA; Univ Colorado, Cooperat Inst Res Environm Sci, Boulder, CO 80309 USA</t>
  </si>
  <si>
    <t>University of Colorado System; University of Colorado Boulder; University of Colorado System; University of Colorado Boulder</t>
  </si>
  <si>
    <t>Bianco, R (corresponding author), Univ Colorado, Dept Chem &amp; Biochem, Campus Box 215, Boulder, CO 80309 USA.</t>
  </si>
  <si>
    <t>WILEY-V C H VERLAG GMBH</t>
  </si>
  <si>
    <t>BERLIN</t>
  </si>
  <si>
    <t>MUHLENSTRASSE 33-34, D-13187 BERLIN, GERMANY</t>
  </si>
  <si>
    <t>0005-9021</t>
  </si>
  <si>
    <t>BER BUNSEN PHYS CHEM</t>
  </si>
  <si>
    <t>Ber. Bunsen-Ges. Phys. Chem. Chem. Phys.</t>
  </si>
  <si>
    <t>10.1002/bbpc.19981020335</t>
  </si>
  <si>
    <t>Chemistry, Physical</t>
  </si>
  <si>
    <t>Conference Proceedings Citation Index - Science (CPCI-S); Science Citation Index Expanded (SCI-EXPANDED)</t>
  </si>
  <si>
    <t>Chemistry</t>
  </si>
  <si>
    <t>ZG382</t>
  </si>
  <si>
    <t>WOS:000072996100034</t>
  </si>
  <si>
    <t>Gaston, AJ; Hipfner, M</t>
  </si>
  <si>
    <t>The effect of ice conditions in northern hudson bay on breeding by thick-billed Murres (Uria lomvia)</t>
  </si>
  <si>
    <t>CANADIAN JOURNAL OF ZOOLOGY-REVUE CANADIENNE DE ZOOLOGIE</t>
  </si>
  <si>
    <t>BARROW STRAIT AREA; ANTARCTIC PENGUIN POPULATIONS; SEA-ICE; NORTHWEST-TERRITORIES; BLACK GUILLEMOTS; LANCASTER SOUND; BEAUFORT SEA; HABITAT USE; CANADA; NWT</t>
  </si>
  <si>
    <t>We compared annual indices of breeding by Thick-billed Murres, Uria lomvia, at a colony in northern Hudson Bay with annual variation in the extent of sea-ice cover during May and June, the period when birds arrive and initiate breeding. Greater ice cover was associated with delayed breeding and lower attendance rates at the colony during the early incubation period (late June). We detected no effect on egg size, reproductive success, or adult body mass. The extent of ice cover in May was positively correlated with the proportion of Arctic cod fed to nestlings, and in June with the proportion of capelin in the rest of the diet. There was a positive correlation between the proportion of capelin in the chick diet and chick body mass at 14 days of age. We attribute the delay in laying during years of heavy ice cover to the reduced area available for foraging close to the colony. Prolonged persistence of ice, though delaying the onset of laying, may benefit the birds later in the season, as they forage preferentially in the vicinity of ice. We suggest that the strong relationships we observed between the extent of ice cover and aspects of the breeding biology of Thick-billed Murres may apply to other Arctic-nesting seabirds and may reflect conditions affecting the entire marine food web.</t>
  </si>
  <si>
    <t>Canadian Wildlife Serv, Natl Wildlife Res Ctr, Hull, PQ K1A 0H3, Canada; Univ Ottawa, Dept Biol, Ottawa, ON K1N 6N5, Canada</t>
  </si>
  <si>
    <t>Environment &amp; Climate Change Canada; Canadian Wildlife Service; National Wildlife Research Centre - Canada; University of Ottawa</t>
  </si>
  <si>
    <t>Gaston, AJ (corresponding author), Canadian Wildlife Serv, Natl Wildlife Res Ctr, 100 Gamelin Blvd, Hull, PQ K1A 0H3, Canada.</t>
  </si>
  <si>
    <t>tony.gaston@ec.gc.ca</t>
  </si>
  <si>
    <t>NATL RESEARCH COUNCIL CANADA</t>
  </si>
  <si>
    <t>OTTAWA</t>
  </si>
  <si>
    <t>RESEARCH JOURNALS, MONTREAL RD, OTTAWA, ONTARIO K1A 0R6, CANADA</t>
  </si>
  <si>
    <t>0008-4301</t>
  </si>
  <si>
    <t>CAN J ZOOL</t>
  </si>
  <si>
    <t>Can. J. Zool.-Rev. Can. Zool.</t>
  </si>
  <si>
    <t>10.1139/cjz-76-3-480</t>
  </si>
  <si>
    <t>Zoology</t>
  </si>
  <si>
    <t>ZZ342</t>
  </si>
  <si>
    <t>WOS:000074719800012</t>
  </si>
  <si>
    <t>McCafferty, DJ; Boyd, IL; Taylor, RI</t>
  </si>
  <si>
    <t>Diving behaviour of Antarctic fur seal (Arctocephalus gazella) pups</t>
  </si>
  <si>
    <t>The diving behaviour of Antarctic fur seal (Arctocephalus gazella) pups on Bird Island, South Georgia (54 degrees S, 38 degrees W), was examined during February-April 1996 using capillary-tube depth gauges (CDGs) and time-depth recorders (TDRs). CDGs were deployed on 6 female and 10 male pups aged 65-101 days. Depths measured by CDGs were within 10% of maximum depths recorded by TDRs. Maximum dive depths averaged 13.8 m and ranged from 4.2 to 28.1 m. Body length alone accounted for 66% of the total variation in maximum dive depth. TDRs were deployed on one female and two male pups aged 89-101 days. In total, 4858 dives were recorded during 173 h at sea. The average dive depth and duration was 4.2 m and 20 s, respectively. Pups made a total of 34 trips and each spent 50% of its time at sea. Not all trips included dives; however, when diving took place trips lasted, on average, 6.8 h and contained 214 dives, most of which took place during daylight. Dives were made at a frequency of 30/h and the vertical distance dived was 124 m . h(-1). The number of dives, percentage of time spent submerged, percentage of time spent diving, dive frequency, and dive rate were positively correlated with trip duration. These results show that Antarctic fur seal pups develop diving skills at an early age, and by the time they are close to being weaned they have the diving ability to exploit prey similar to those taken by adults.</t>
  </si>
  <si>
    <t>McCafferty, DJ (corresponding author), British Antarctic Survey, NERC, Madingley Rd, Cambridge CB3 0ET, England.</t>
  </si>
  <si>
    <t>McCafferty, Dominic/0000-0002-3079-3326</t>
  </si>
  <si>
    <t>10.1139/cjz-76-3-513</t>
  </si>
  <si>
    <t>WOS:000074719800016</t>
  </si>
  <si>
    <t>Nicholls, DG; Stampton, P; Klomp, NI; Schultz, M</t>
  </si>
  <si>
    <t>Post-breeding flight to Antarctic waters by a short-tailed shearwater Puffinus tenuirostris</t>
  </si>
  <si>
    <t>EMU</t>
  </si>
  <si>
    <t>TAFE, Peninsula Inst, Carrum, Vic 3197, Australia; Charles Sturt Univ, Johnstone Ctr, Albury, NSW 2640, Australia</t>
  </si>
  <si>
    <t>Charles Sturt University</t>
  </si>
  <si>
    <t>Nicholls, DG (corresponding author), TAFE, Peninsula Inst, Bonbeach Campus, Carrum, Vic 3197, Australia.</t>
  </si>
  <si>
    <t>ROYAL AUSTRALASIAN ORNITHOLOGISTS UNION</t>
  </si>
  <si>
    <t>HAWTHORN EAST</t>
  </si>
  <si>
    <t>415 RIVERSDALE RD,, HAWTHORN EAST, VICTORIA 3123, AUSTRALIA</t>
  </si>
  <si>
    <t>0158-4197</t>
  </si>
  <si>
    <t>Emu</t>
  </si>
  <si>
    <t>10.1071/MU98007F</t>
  </si>
  <si>
    <t>Ornithology</t>
  </si>
  <si>
    <t>YZ906</t>
  </si>
  <si>
    <t>WOS:000072306400012</t>
  </si>
  <si>
    <t>Kurz, MD; Le Roex, AP; Dick, HJB</t>
  </si>
  <si>
    <t>Isotope geochemistry of the oceanic mantle near the Bouvet triple junction</t>
  </si>
  <si>
    <t>GEOCHIMICA ET COSMOCHIMICA ACTA</t>
  </si>
  <si>
    <t>SOUTHWEST INDIAN RIDGE; MID-ATLANTIC RIDGE; BASALT GLASSES; REYKJANES RIDGE; VOLCANIC-ROCKS; HELIUM; SR; SYSTEMATICS; ISLANDS; MORB</t>
  </si>
  <si>
    <t>We have measured the isotopes of helium and lead in three suites of dredged basalts from the Southwest Indian Ridge, the America-Antarctic Ridge, and the Mid-Atlantic Ridge near the Bouvet triple junction. The magmatic He-3/He-4 ratios range from 6.5 to 14.2 times atmospheric (R-a), which encompasses the entire range of existing MORE data, and differs significantly from the commonly accepted value for depleted MORE of roughly eight times atmospheric (Ka). Several samples from near the Bouvet triple junction have extremely low helium concentrations, low He-3/He-4 ratios, and display internal isotopic disequilibrium between glass and vesicles. These basalt glasses are, therefore, unique among the sample suite in having a significant contribution from post-eruptive accumulation of radiogenic He-4. Although these data do not reflect the mantle source, they can be used to calculate eruption ages for the basalts, which fall between 7 and 100 kyr, and demonstrates the potential utility of He-U ages for MORB. Lead isotopic compositions from the dredged basalt glasses range from depleted MORE to those of Bouvet Island itself (Pb-206/Pb-204 of 18.2-19.6). The results are consistent with a mantle plume origin of Bouvet Island in that high He-3/He-4 and Pb-206/Pb-204 ratios are observed both on Bouvet island and the ridge segment immediately adjacent to it. The American-Antarctic Ridge has lower He, Sr and Pb isotope ratios than those of the Southwest Indian Ridge, which suggests a lesser influence of the plume. The dredge samples from near the triple junction have relatively low He-3/He-4 ratios (7.4 +/- 0.2 R-a), suggesting that the plume is presently centered beneath Bouvet Island rather than beneath the triple junction. The data from the ridge segment adjacent to Bouvet Island, on the Southwest Indian Ridge, define a trend toward high helium, strontium, and lead isotope ratios, which could be explained by mixing processes. A single dredge from one ridge segment at 7 degrees E, between the Islas Orcadas and Shaka Fracture Zones, defines most of the helium isotopic variability found throughout the region and defines an isotopic composition unique in the region. The highest He-3/He-4 ratios. were obtained from this ridge segment (similar to 14 R-a) and are associated with relatively unradiogenic strontium and lead isotopic compositions. The remarkable isotopic variability over short distances along the Southwest Indian Ridge and the America-Antarctic Ridge may be related to their slow spreading rates and the lack of steady state magma chambers which could homogenize geochemically distinct magma batches. Alternatively, there is a different scale of heterogeneity in the mantle beneath this region. Copyright (C) 1998 Elsevier Science Ltd.</t>
  </si>
  <si>
    <t>Woods Hole Oceanog Inst, Dept Marine Chem &amp; Geochem, Woods Hole, MA 02543 USA; Univ Cape Town, Dept Geol Sci, ZA-7700 Rondebosch, South Africa; Woods Hole Oceanog Inst, Dept Geol &amp; Geophys, Woods Hole, MA 02543 USA</t>
  </si>
  <si>
    <t>Woods Hole Oceanographic Institution; University of Cape Town; Woods Hole Oceanographic Institution</t>
  </si>
  <si>
    <t>Kurz, MD (corresponding author), Woods Hole Oceanog Inst, Dept Marine Chem &amp; Geochem, Woods Hole, MA 02543 USA.</t>
  </si>
  <si>
    <t>Kurz, Mark/0000-0003-1745-2356</t>
  </si>
  <si>
    <t>PERGAMON-ELSEVIER SCIENCE LTD</t>
  </si>
  <si>
    <t>THE BOULEVARD, LANGFORD LANE, KIDLINGTON, OXFORD OX5 1GB, ENGLAND</t>
  </si>
  <si>
    <t>0016-7037</t>
  </si>
  <si>
    <t>GEOCHIM COSMOCHIM AC</t>
  </si>
  <si>
    <t>Geochim. Cosmochim. Acta</t>
  </si>
  <si>
    <t>10.1016/S0016-7037(97)00383-9</t>
  </si>
  <si>
    <t>ZJ764</t>
  </si>
  <si>
    <t>WOS:000073250600009</t>
  </si>
  <si>
    <t>Toscano, MA; Lundberg, J</t>
  </si>
  <si>
    <t>Early Holocene sea-level record from submerged fossil reefs on the southeast Florida margin</t>
  </si>
  <si>
    <t>GEOLOGY</t>
  </si>
  <si>
    <t>ICE-SHEET COLLAPSE; LAST DEGLACIATION; CORAL-REEFS; RISE</t>
  </si>
  <si>
    <t>Massive fossil (outlier) reefs are preserved seaward of the modern shelf and reef tract along the southeast Florida margin. Thermal ionization mass-spectrometric (TIMS) U-Th dating of 16 pristine Acropora palmata and head corals cored from two transects document early Holocene reef growth from 8.9 to 5.0 ka, from approximately -13.5 to -7 m MSL (mean sea level). These samples fill a gap in the Florida Keys sea-level database and clarify the timing of a significant decrease in the rate of sea-level rise. A portion of this interval, represented by a gap in the Caribbean record of A. palmata reefs, has been interpreted as reef drowning during an inferred catastrophic sea-level rise event of &gt;45 mm/yr, or a 6.5 m rise between 7.6 and 7.2 ha, attributed to West Antarctic Ice Sheet instability and changes in marine ice extent between 8 and 7 ka. Continuous in situ shallow-water reef growth in Florida during this interval precludes the occurrence of exceedingly rapid rates of sea-level rise and is consistent with the North Atlantic record of deglaciation from 9 to 7 ka. Gaps in the early Holocene sea-level records for Florida and the Caribbean are thus more likely to be artifacts of limited sampling and/or core coverage, and not necessarily a result of drowning.</t>
  </si>
  <si>
    <t>Univ S Florida, Dept Marine Sci, St Petersburg, FL 33701 USA; Carleton Univ, Dept Geog, Ottawa, ON K1S 5B6, Canada</t>
  </si>
  <si>
    <t>State University System of Florida; University of South Florida; Carleton University</t>
  </si>
  <si>
    <t>Toscano, MA (corresponding author), Univ S Florida, Dept Marine Sci, 140 7Th Ave S, St Petersburg, FL 33701 USA.</t>
  </si>
  <si>
    <t>ASSOC ENGINEERING GEOLOGISTS GEOLOGICAL SOCIETY AMER</t>
  </si>
  <si>
    <t>COLLEGE STN</t>
  </si>
  <si>
    <t>TEXAS A &amp; M UNIV, DEPT GEOLOGY &amp; GEOPHYSICS, COLLEGE STN, TX 77843-3115 USA</t>
  </si>
  <si>
    <t>0091-7613</t>
  </si>
  <si>
    <t>Geology</t>
  </si>
  <si>
    <t>10.1130/0091-7613(1998)026&lt;0255:EHSLRF&gt;2.3.CO;2</t>
  </si>
  <si>
    <t>ZB103</t>
  </si>
  <si>
    <t>WOS:000072436000016</t>
  </si>
  <si>
    <t>Mitchell, NC; Livermore, RA</t>
  </si>
  <si>
    <t>The present configuration of the Bouvet triple junction</t>
  </si>
  <si>
    <t>INDIAN-OCEAN; MICROPLATE; EVOLUTION; PATTERN</t>
  </si>
  <si>
    <t>New Hawaii-MR1 sonar data show that the southernmost Mid-Atlantic Ridge joins the South American-Antarctic Ridge by an obliquely opening rift and overlaps Spiess Ridge, the westernmost segment of the Southwest Indian Ridge, with no evidence for a transform fault. The junction is therefore neither ridge-fault-fault nor ridge-ridge-ridge. We speculate that growth of Spiess Ridge adjacent to the triple junction has caused this complexity and discuss more generally the origins of distributed deformation at oceanic triple junctions.</t>
  </si>
  <si>
    <t>Univ Durham, Dept Geol Sci, Durham DH1 3LE, England; British Antarctic Survey, Cambridge CB3 0ET, England</t>
  </si>
  <si>
    <t>Durham University; UK Research &amp; Innovation (UKRI); Natural Environment Research Council (NERC); NERC British Antarctic Survey</t>
  </si>
  <si>
    <t>Univ Oxford, Dept Earth Sci, Parks Rd, Oxford OX1 3PR, England.</t>
  </si>
  <si>
    <t>neilm@earth.ox.ac.uk</t>
  </si>
  <si>
    <t>Mitchell, Neil/B-9807-2008; Livermore, Roy/M-1566-2019</t>
  </si>
  <si>
    <t>Mitchell, Neil/0000-0002-6483-2450</t>
  </si>
  <si>
    <t>GEOLOGICAL SOC AMER, INC</t>
  </si>
  <si>
    <t>BOULDER</t>
  </si>
  <si>
    <t>PO BOX 9140, BOULDER, CO 80301-9140 USA</t>
  </si>
  <si>
    <t>1943-2682</t>
  </si>
  <si>
    <t>10.1130/0091-7613(1998)026&lt;0267:TPCOTB&gt;2.3.CO;2</t>
  </si>
  <si>
    <t>WOS:000072436000019</t>
  </si>
  <si>
    <t>Gruber, N</t>
  </si>
  <si>
    <t>Anthropogenic CO2 in the Atlantic Ocean</t>
  </si>
  <si>
    <t>GLOBAL BIOGEOCHEMICAL CYCLES</t>
  </si>
  <si>
    <t>Review</t>
  </si>
  <si>
    <t>GENERAL-CIRCULATION MODEL; ACID DISSOCIATION-CONSTANTS; ANTARCTIC BOTTOM WATER; WESTERN NORTH-ATLANTIC; GLOBAL CARBON-CYCLE; BOMB RADIOCARBON; SOUTH-ATLANTIC; THERMOHALINE CIRCULATION; INTERMEDIATE WATER; TRACER TRANSPORTS</t>
  </si>
  <si>
    <t>The anthropogenic CO2 in the Atlantic Ocean is separated from the large natural variability of dissolved inorganic carbon using the method developed by Gruber et al. [1996]. Surface concentrations of anthropogenic CO2 are found to be highest in the tropical to subtropical regions and to decrease toward the high latitudes. They are very close to what is expected from thermodynamic considerations assuming that the surface ocean followed the atmospheric CO2 perturbation. Highest specific inventories (inventory per square meter) of anthropogenic CO2 occur in the subtropical convergence zones. Large differences exist between the North and South Atlantic high latitudes: In the North Atlantic, anthropogenic CO2 has already invaded deeply into the interior; north of 50 degrees N it has even reached the bottom. By contrast, waters south of 50 degrees S contain relatively little anthropogenic CO2, and hence specific inventories are very low. An anthropogenic CO2 inventory of about 22 +/- 5 Gt C is estimated for the Atlantic north of the equator, for 1982, and 18 +/- 4 Gt C is estimated for the Atlantic south of the equator for 1989. The Princeton ocean biogeochemistry model predicts anthropogenic CO2 inventories of 20.0 Gt C (North Atlantic, 1982) and 17.7 Gt C (South Atlantic, 1989) for the same regions in good agreement with the observed inventories. Important differences exist on a more regional scale, associated with known deficiencies of the model.</t>
  </si>
  <si>
    <t>Univ Bern, Inst Phys, Bern, Switzerland</t>
  </si>
  <si>
    <t>University of Bern</t>
  </si>
  <si>
    <t>Gruber, N (corresponding author), Princeton Univ, AOS Program, Princeton, NJ 08544 USA.</t>
  </si>
  <si>
    <t>Gruber, Nicolas/B-7013-2009</t>
  </si>
  <si>
    <t>Gruber, Nicolas/0000-0002-2085-2310</t>
  </si>
  <si>
    <t>0886-6236</t>
  </si>
  <si>
    <t>GLOBAL BIOGEOCHEM CY</t>
  </si>
  <si>
    <t>Glob. Biogeochem. Cycle</t>
  </si>
  <si>
    <t>10.1029/97GB03658</t>
  </si>
  <si>
    <t>Environmental Sciences; Geosciences, Multidisciplinary; Meteorology &amp; Atmospheric Sciences</t>
  </si>
  <si>
    <t>Environmental Sciences &amp; Ecology; Geology; Meteorology &amp; Atmospheric Sciences</t>
  </si>
  <si>
    <t>ZB470</t>
  </si>
  <si>
    <t>Bronze, Green Published</t>
  </si>
  <si>
    <t>WOS:000072475200011</t>
  </si>
  <si>
    <t>Hamran, SE; Erlingsson, B; Gjessing, Y; Mo, P</t>
  </si>
  <si>
    <t>Estimate of the subglacier dielectric constant of an ice shelf using a ground-penetrating step-frequency radar</t>
  </si>
  <si>
    <t>IEEE TRANSACTIONS ON GEOSCIENCE AND REMOTE SENSING</t>
  </si>
  <si>
    <t>dielectric constant; glacier; GPR; ice shelf; radar</t>
  </si>
  <si>
    <t>GLACIER</t>
  </si>
  <si>
    <t>The mass balance of the Antarctic ice cap, its stability, and the role of the surrounding ice shelf in bottom-water mass formation is, to a large extent, dictated by processes associated with subsurface freezing and melting, where the submerged ice meets the surrounding ocean, It is demonstrated how multifrequency ground-penetrating radar data collected at the Riiser-Larsenisen can be used to examine the physical conditions of the ice-shelf subsurface. The received radar signal from three different frequency intervals, 10-30, 155-170, and 330-360 MHz (range of wavelengths from 15 to 0.5 m in the ice), was analyzed by using a plane reflector model, It is demonstrated that the data can be successfully used to distinguish between types of ice at the ice-ocean interface, such as for freezing marine ice, melting marine ice, melting meteoric ice from the ice cap, and melting firn/ice, The data analysis shows that the subsurface can be regarded as rough on length scales in the order of 1 m.</t>
  </si>
  <si>
    <t>Environm Surveillance Technol Programme, N-2001 Lillestrom, Norway; Halo, Lab Ocean &amp; Atmospher Sci Res &amp; Informat Network, IS-121 Reykjavik, Iceland; Univ Studience Svalbard, N-9170 Svalbard, Norway; Norwegian Inst Technol, N-7034 Trondheim, Norway</t>
  </si>
  <si>
    <t>Norwegian University of Science &amp; Technology (NTNU)</t>
  </si>
  <si>
    <t>Hamran, SE (corresponding author), Norwegian Def Res Estab, Div Elect, N-2007 Kjeller, Norway.</t>
  </si>
  <si>
    <t>IEEE-INST ELECTRICAL ELECTRONICS ENGINEERS INC</t>
  </si>
  <si>
    <t>345 E 47TH ST, NEW YORK, NY 10017-2394 USA</t>
  </si>
  <si>
    <t>0196-2892</t>
  </si>
  <si>
    <t>IEEE T GEOSCI REMOTE</t>
  </si>
  <si>
    <t>IEEE Trans. Geosci. Remote Sensing</t>
  </si>
  <si>
    <t>10.1109/36.662734</t>
  </si>
  <si>
    <t>Geochemistry &amp; Geophysics; Engineering, Electrical &amp; Electronic; Remote Sensing; Imaging Science &amp; Photographic Technology</t>
  </si>
  <si>
    <t>Geochemistry &amp; Geophysics; Engineering; Remote Sensing; Imaging Science &amp; Photographic Technology</t>
  </si>
  <si>
    <t>ZC333</t>
  </si>
  <si>
    <t>WOS:000072566800013</t>
  </si>
  <si>
    <t>Pandey, PC</t>
  </si>
  <si>
    <t>Satellite oceanography &amp; modelling -: Preface</t>
  </si>
  <si>
    <t>INDIAN JOURNAL OF MARINE SCIENCES</t>
  </si>
  <si>
    <t>Antarctic Study Ctr, Dept Ocean Dev, Vasco Da Gama 403804, Goa, India</t>
  </si>
  <si>
    <t>Pandey, PC (corresponding author), Antarctic Study Ctr, Dept Ocean Dev, Vasco Da Gama 403804, Goa, India.</t>
  </si>
  <si>
    <t>NATL INST SCIENCE COMMUNICATION</t>
  </si>
  <si>
    <t>NEW DELHI</t>
  </si>
  <si>
    <t>DR K S KRISHNAN MARG, NEW DELHI 110 012, INDIA</t>
  </si>
  <si>
    <t>0379-5136</t>
  </si>
  <si>
    <t>INDIAN J MAR SCI</t>
  </si>
  <si>
    <t>Indian J. Mar. Sci.</t>
  </si>
  <si>
    <t>U6</t>
  </si>
  <si>
    <t>ZM002</t>
  </si>
  <si>
    <t>WOS:000073494900001</t>
  </si>
  <si>
    <t>Falcidieno, B; Pizzi, C; Sanguineti, A; Spagnuolo, M; Stocchino, C</t>
  </si>
  <si>
    <t>Three-dimensional modelling of the Terra Nova Bay sea floor (Ross Sea, Antarctica)</t>
  </si>
  <si>
    <t>INTERNATIONAL HYDROGRAPHIC REVIEW</t>
  </si>
  <si>
    <t>The importance of gathering data on the Antarctic coastline and its adjacent waters has been widely recognised by the Antarctic Treaty Consultative Meeting (ATCM), the Council of Managers of National Antarctic Programs (COMNAP) and the Scientific Committee on Antarctic Research (SCAR). In particular, both for navigational safety and environmental monitoring, it is very desirable to increase hydrographic activity in those areas which have the most significant importance from a scientific or navigational point of view - such as in the continental shelf and continental slope areas of the western part of the Ross Sea. Quite apart from the safety of navigation requirements, knowledge of the seabed topography is necessary to study and understand the various phenomena laking place in the marine environment. For example, the movement of water masses and their mixing processes depend on the shape of the seabed and adjacent coastline. The sea area surrounding Antarctica is one of the least explored parts of the world's oceans and the available bathymetric data is only sufficient to allow a very general analysis to be made. With the probable growth of tourism and fishing around Antarctica and with the increasing need to understand the effects on the world's climate of Antarctic water patterns, it is necessary to consider powerful new techniques - such as three-dimensional modelling of the sea floors - in order to build up more quickly an effective and reliable bathymetric data base of Antarctic waters.</t>
  </si>
  <si>
    <t>Natl Res Council, Inst Appl Math, I-16149 Genoa, Italy</t>
  </si>
  <si>
    <t>Falcidieno, B (corresponding author), Natl Res Council, Inst Appl Math, Via Marini 6, I-16149 Genoa, Italy.</t>
  </si>
  <si>
    <t>Spagnuolo, Michela/ABA-1927-2021</t>
  </si>
  <si>
    <t>Spagnuolo, Michela/0000-0002-5682-6990</t>
  </si>
  <si>
    <t>INT HYDROGRAPHIC BUREAU</t>
  </si>
  <si>
    <t>MONTE CARLO</t>
  </si>
  <si>
    <t>AVE PRES J F KENNEDY, MONTE CARLO, MONACO</t>
  </si>
  <si>
    <t>0020-6946</t>
  </si>
  <si>
    <t>INT HYDROGR REV</t>
  </si>
  <si>
    <t>Int. Hydrogr. Rev.</t>
  </si>
  <si>
    <t>Engineering, Marine; Oceanography; Water Resources</t>
  </si>
  <si>
    <t>Engineering; Oceanography; Water Resources</t>
  </si>
  <si>
    <t>ZW600</t>
  </si>
  <si>
    <t>WOS:000074428000005</t>
  </si>
  <si>
    <t>Rohde, K; Heap, M</t>
  </si>
  <si>
    <t>Latitudinal differences in species and community richness and in community structure of metazoan endo- and ectoparasites of marine teleost fish</t>
  </si>
  <si>
    <t>INTERNATIONAL JOURNAL FOR PARASITOLOGY</t>
  </si>
  <si>
    <t>community ecology; marine parasites; latitudinal gradients; species richness; species diversity; community richness</t>
  </si>
  <si>
    <t>HELMINTH-PARASITES; DIGENEAN TREMATODES; ALIMENTARY-TRACT; SCOTIAN SHELF; ATLANTIC; DIVERSITY; ECOLOGY; CHILE; ASSEMBLAGE; PISCES</t>
  </si>
  <si>
    <t>Relative species diversity of gastrointestinal helminths of 55 teleost fish species did not differ significantly at different latitudes, whereas relative species diversity of metazoan ectoparasites on the heads and gills of 108 teleost fish species showed a significant increase with decreasing latitude and from deep to surface waters. Abundance of endoparasites also was the same at all latitudes, whereas abundance of ectoparasites increased with decreasing latitude and from deep to shallow waters. A comparative analysis using phylogenetically independent contrasts supported these conclusions. Possible reasons for the differences between endo- and ectoparasites are discussed. A detailed analysis of the community structure of gastrointestinal helminths of five Antarctic and three tropical teleosts and of metazoan ectoparasites on the heads and gills of five Antarctic and seven tropical fish species showed the following: abundance and prevalence of infection of endoparasites are similar in Antarctic and tropical fish, but are much greater for tropical than for Antarctic ectoparasites. Relative species diversity of endoparasites is similar for Antarctic and tropical endoparasites, but much greater for tropical than Antarctic ectoparasites. In both Antarctic and tropical fish, different fish of the same species may have different dominant species of endo-and ectoparasites, although there is a greater range of dominant species of tropical ectoparasites, a consequence of the greater species pool available. The most dominant parasite (irrespective of species) represented 80-99% of all endoparasites of Antarctic, and about 50-80% of all endoparasites of tropical fish. The most dominant parasites (irrespective of species) represented about 90-100% of ail ectoparasites of Antarctic, and about 20-70% of all ectoparasites of tropical fish, the difference a consequence of the greater species pool of tropical ectoparasites available. The data suggest that both endo- and ectoparasites live in assemblages not structured by interspecific competition. (C) 1998 Australian Society for Parasitology. Published by Elsevier Science Ltd.</t>
  </si>
  <si>
    <t>Univ New England, Dept Zool, Armidale, NSW 2351, Australia</t>
  </si>
  <si>
    <t>University of New England</t>
  </si>
  <si>
    <t>Rohde, K (corresponding author), Univ New England, Dept Zool, Armidale, NSW 2351, Australia.</t>
  </si>
  <si>
    <t>0020-7519</t>
  </si>
  <si>
    <t>INT J PARASITOL</t>
  </si>
  <si>
    <t>Int. J. Parasit.</t>
  </si>
  <si>
    <t>10.1016/S0020-7519(97)00209-9</t>
  </si>
  <si>
    <t>Parasitology</t>
  </si>
  <si>
    <t>ZD450</t>
  </si>
  <si>
    <t>WOS:000072687200009</t>
  </si>
  <si>
    <t>Younis, AI; Rooks, B; Khan, S; Gould, KG</t>
  </si>
  <si>
    <t>The effects of antifreeze peptide III (AFP) and insulin transferrin selenium (ITS) on cryopreservation of chimpanzee (Pan troglodytes) spermatozoa</t>
  </si>
  <si>
    <t>JOURNAL OF ANDROLOGY</t>
  </si>
  <si>
    <t>semen; acrosome; CAMA; FITC-PSA</t>
  </si>
  <si>
    <t>SPONTANEOUS LIPID-PEROXIDATION; THERMAL HYSTERESIS PROTEINS; HUMAN-SPERM; MEMBRANE INTEGRITY; SUPEROXIDE-DISMUTASE; ANTARCTIC FISHES; ACROSOMAL STATUS; MOTILITY; GLYCEROL; ICE</t>
  </si>
  <si>
    <t>We investigated the effects of antifreeze peptides (AFP) and insulin transferrin selenium (ITS) on the motility and membrane integrity of chimpanzee (Pan troglodytes) spermatozoa after chilling (0-5 degrees C) and thawing. The effects of three thawing procedures, in the presence or absence of AFP and ITS, on sperm motility and on the status of the plasma membrane and acrosome were also examined. During chilling, AFP and ITS seem mildly cytotoxic, as the progressive motility and velocity (curvilinear and straight line) declined significantly at AFP concentrations of 1, 10, and 100 mu g/ml and at ITS concentrations of 1 and 10 mu g/ml. However, at a concentration of 100 mu g/ml, ITS was able to protect sperm during shortterm hypothermic storage. Addition of AFP or ITS at 100 mu g/ml to test egg yolk-glycerol extender during freezing significantly (P &lt; 0.05) increased postthaw motility, plasma membrane integrity, and acrosome integrity. The mean (+/-SE) motility recovery rate increased from 28.9 +/- 3.9%, for the untreated control, to 59.2 +/- 5.8% and 67.8 +/- 7.4%, for ITS and AFP, respectively. The effects of the thawing procedure were influenced by the presence of AFP during the freezing cycle. An improved motility recovery rate of 67 +/- 4.2% was obtained when chimpanzee sperm frozen in test egg yolk-glycerol extender supplemented with AFP were thawed rapidly at 37 degrees C, compared to 47 +/- 5.2% and 44 +/- 8.2% for slow (23 degrees C) and ultra-rapid (75 degrees C) thawing, respectively. The motility recovery after thawing of ITS-treated semen at 23 degrees C, 37 degrees C, or 75 degrees C was not significantly different. Semen frozen without AFP or ITS and thawed at 75 degrees C was seriously (P &lt; 0.05) damaged. This study provides evidence that AFP-or ITS-supplemented semen extender improves postthaw sperm motility in the chimpanzee.</t>
  </si>
  <si>
    <t>Emory Univ, Yerkes Reg Primate Res Ctr, Div Mol Med, Atlanta, GA 30329 USA</t>
  </si>
  <si>
    <t>Emory University</t>
  </si>
  <si>
    <t>Younis, AI (corresponding author), Emory Univ, Yerkes Reg Primate Res Ctr, Div Mol Med, 954 N Gatewood Rd, Atlanta, GA 30329 USA.</t>
  </si>
  <si>
    <t>NCRR NIH HHS [RR00165, RR03587] Funding Source: Medline</t>
  </si>
  <si>
    <t>NCRR NIH HHS(United States Department of Health &amp; Human ServicesNational Institutes of Health (NIH) - USANIH National Center for Research Resources (NCRR))</t>
  </si>
  <si>
    <t>AMER SOC ANDROLOGY, INC</t>
  </si>
  <si>
    <t>LAWRENCE</t>
  </si>
  <si>
    <t>C/O ALLEN PRESS, INC PO BOX 368, LAWRENCE, KS 66044 USA</t>
  </si>
  <si>
    <t>0196-3635</t>
  </si>
  <si>
    <t>J ANDROL</t>
  </si>
  <si>
    <t>J. Androl.</t>
  </si>
  <si>
    <t>MAR-APR</t>
  </si>
  <si>
    <t>Andrology</t>
  </si>
  <si>
    <t>Endocrinology &amp; Metabolism</t>
  </si>
  <si>
    <t>ZH107</t>
  </si>
  <si>
    <t>WOS:000073072900011</t>
  </si>
  <si>
    <t>Parkinson, ML; Dyson, PL; Monselesan, DP; Morris, RJ</t>
  </si>
  <si>
    <t>On the role of electric field direction in the formation of sporadic E-layers in the southern polar cap ionosphere</t>
  </si>
  <si>
    <t>JOURNAL OF ATMOSPHERIC AND SOLAR-TERRESTRIAL PHYSICS</t>
  </si>
  <si>
    <t>THIN IONIZATION LAYERS; INTERPLANETARY MAGNETIC-FIELD; HIGH-LATITUDES; SODIUM LAYERS; NEUTRAL WIND; PLASMA-FLOW; DYNASONDE; MODEL; RADAR</t>
  </si>
  <si>
    <t>Measurements of the occurrence of sporadic E (Es)-layers and F-region electric fields were obtained with a modern, HF digital ionosonde located at Casey, Antarctica (66.3 degrees S, 110.5 degrees E, 81 degrees S CGM latitude) during the late austral summer of 1995/96. The occurrence of Es-layers was inferred from the presence of appropriate traces in normal swept-frequency ionograms, and the electric fields were inferred from F-region drift-mode velocities assuming that the plasma convection velocities given by E x B/B-2 were measured, on average, by the interferometer. The theory of formation of high-latitude Es-layers predicts that electric fields directed toward the south west (SW) should be particularly effective at producing thin layers in the southern hemisphere. Our measurements made at a true polar cap station are consistent with this expectation, and are contrasted with observations made by incoherent scatter radars in the northern hemisphere, which also show the importance of SW electric fields, whereas the same theory predicts that NW electric fields should be important at northern latitudes. We reconcile the interhemispheric differences with simple calculations of ion convergence driven by the electric fields specified by the IZMI-RAN electrodynamic model (IZMEM) in both hemispheres. The importance of the interplanetary magnetic field in the control of high-latitude Es formation is emphasised as an important adjunct to space weather modelling and forecasting. (C) 1998 Elsevier Science Ltd. All rights reserved.</t>
  </si>
  <si>
    <t>La Trobe Univ, Sch Phys, Melbourne, Vic 3083, Australia; Australian Antarctic Div, Kingston, Tas 7050, Australia</t>
  </si>
  <si>
    <t>La Trobe University; Australian Antarctic Division</t>
  </si>
  <si>
    <t>Parkinson, ML (corresponding author), La Trobe Univ, Sch Phys, Melbourne, Vic 3083, Australia.</t>
  </si>
  <si>
    <t>Monselesan, Didier/A-2327-2012</t>
  </si>
  <si>
    <t>Monselesan, Didier/0000-0002-0310-8995</t>
  </si>
  <si>
    <t>1364-6826</t>
  </si>
  <si>
    <t>J ATMOS SOL-TERR PHY</t>
  </si>
  <si>
    <t>J. Atmos. Sol.-Terr. Phys.</t>
  </si>
  <si>
    <t>10.1016/S1364-6826(97)00095-3</t>
  </si>
  <si>
    <t>Geochemistry &amp; Geophysics; Meteorology &amp; Atmospheric Sciences</t>
  </si>
  <si>
    <t>ZN425</t>
  </si>
  <si>
    <t>WOS:000073644600006</t>
  </si>
  <si>
    <t>Cullather, RI; Bromwich, DH; Van Woert, ML</t>
  </si>
  <si>
    <t>Spatial and temporal variability of Antarctic precipitation from atmospheric methods</t>
  </si>
  <si>
    <t>JOURNAL OF CLIMATE</t>
  </si>
  <si>
    <t>WATER-VAPOR TRANSPORT; SEA-LEVEL PRESSURE; MASS-BALANCE; SOUTHERN-HEMISPHERE; SNOW ACCUMULATION; MOISTURE BUDGET; GLOBAL ANALYSES; ECMWF ANALYSES; ICE SHEETS; CLIMATE</t>
  </si>
  <si>
    <t>The spatial and temporal variability of net precipitation (precipitation minus evaporation/sublimation) for Antarctica derived from the European Centre for Medium-Range Weather Forecasts operational analyses via the atmospheric moisture budget is assessed in comparison to a variety of glaciological and meteorological observations and datasets. For the 11-yr period 1985-95, the average continental value is 151 mm yr(-1) water equivalent. Large regional differences with other datasets are identified, and the sources of error are considered. Interannual variability in the Southern Ocean storm tracks is found to be an important mechanism for enhanced precipitation minus evaporation (P - E) in both east and west Antarctica. In relation to the present findings, an evaluation of the rawinsonde method for estimating net precipitation in east Antarctica is conducted. Estimates of P - E using synthetic rawinsondes derived from the analyses are found to compare favorably to glaciological estimates. A significant upward trend of 2.4 mm yr(-1) is found for the Antarctic continent that is consistent with findings from the National Centers for Environmental Prediction, formerly the National Meteorological Center, and the National Center for Atmospheric Research Reanalysis precipitation dataset. Despite large regional discrepancies, the general agreement on the main features of Antarctic precipitation between studies suggests that a threshold has been reached, where the assessment of the smaller terms including evaporation/sublimation and drift snow loss is required to explain the differences.</t>
  </si>
  <si>
    <t>Ohio State Univ, Byrd Polar Res Ctr, Polar Meterol Grp, Columbus, OH 43210 USA; NOAA, NESDIS, Off Res &amp; Applicat, Camp Springs, MD USA</t>
  </si>
  <si>
    <t>University System of Ohio; Ohio State University; National Oceanic Atmospheric Admin (NOAA) - USA</t>
  </si>
  <si>
    <t>Ohio State Univ, Byrd Polar Res Ctr, Polar Meterol Grp, Columbus, OH 43210 USA.</t>
  </si>
  <si>
    <t>bromwich@polarmetl.mps.ohio-state.edu</t>
  </si>
  <si>
    <t>Bromwich, David H/C-9225-2016</t>
  </si>
  <si>
    <t>AMER METEOROLOGICAL SOC</t>
  </si>
  <si>
    <t>BOSTON</t>
  </si>
  <si>
    <t>45 BEACON ST, BOSTON, MA 02108-3693 USA</t>
  </si>
  <si>
    <t>0894-8755</t>
  </si>
  <si>
    <t>1520-0442</t>
  </si>
  <si>
    <t>J CLIMATE</t>
  </si>
  <si>
    <t>J. Clim.</t>
  </si>
  <si>
    <t>10.1175/1520-0442(1998)011&lt;0334:SATVOA&gt;2.0.CO;2</t>
  </si>
  <si>
    <t>Meteorology &amp; Atmospheric Sciences</t>
  </si>
  <si>
    <t>ZF338</t>
  </si>
  <si>
    <t>Bronze, Green Submitted</t>
  </si>
  <si>
    <t>WOS:000072887500003</t>
  </si>
  <si>
    <t>Lubin, D; Chen, B; Bromwich, DH; Somerville, RCJ; Lee, WH; Hines, KM</t>
  </si>
  <si>
    <t>The impact of Antarctic cloud radiative properties on a GCM climate simulation</t>
  </si>
  <si>
    <t>GENERAL-CIRCULATION MODEL; ICE; SENSITIVITY; ABSORPTION; ATMOSPHERE; BUDGET; PARAMETERIZATION; SURFACE</t>
  </si>
  <si>
    <t>A sensitivity study to evaluate the impact upon regional and hemispheric climate caused by changing the optical properties of clouds over the Antarctic continent is conducted with the NCAR Community Model version 2 (CCM2). Sensitivity runs are performed in which radiation interacts with ice clouds with particle sizes of 10 and 40 mu m rather than with the standard 10-mu m water clouds. The experiments are carried out for perpetual January conditions with the diurnal cycle considered. The effects of these cloud changes on the Antarctic radiation budget are examined by considering cloud forcing at the top of the atmosphere and net radiation at the surface. Changes of the cloud radiative properties to those of 10-mu m ice clouds over Antarctica have significant Impacts on regional climate: temperature increases throughout the Antarctic troposphere by 1 degrees-2 degrees C and total cloud fraction over Antarctica is smaller than that of the control at low levels but is larger than that of the control in the mid- to upper troposphere. As a result of Antarctic warming and changes in the north-south temperature gradient, the drainage flows at the surface as well as the meridional mass circulation are weakened. Similarly, the circumpolar trough weakens significantly by 4-8 hPa and moves northward by about 4 degrees-5 degrees latitude. This regional mass field adjustment halves the strength of the simulated surface westerly winds. As a result of indirect thermodynamic and dynamic effects, significant changes are observed in the zonal mean circulation and eddies in the middle latitudes. In fact, the simulated impacts of the Antarctic cloud radiative alteration are not confined to the Southern Hemisphere. The meridional mean mass flux, zonal wind, and latent heat release exhibit statistically significant changes in the Tropics and even extratropics of the Northern Hemisphere. The simulation with radiative properties of 40-mu m ice clouds produces colder surface temperatures over Antarctica by up to 3 degrees C compared to the control. Otherwise, the results of the 40-mu m ice cloud simulation are similar to those of the 10-mu m ice cloud simulation.</t>
  </si>
  <si>
    <t>Ohio State Univ, Byrd Polar Res Ctr, Polar Meteorol Grp, Columbus, OH 43210 USA; Univ Calif San Diego, Scripps Inst Oceanog, Calif Space Inst, La Jolla, CA 92093 USA; Ohio State Univ, Atmospher Sci Program, Columbus, OH 43210 USA; Univ Calif San Diego, Scripps Inst Oceanog, Div Climate Res, La Jolla, CA 92093 USA</t>
  </si>
  <si>
    <t>University System of Ohio; Ohio State University; University of California System; University of California San Diego; Scripps Institution of Oceanography; University System of Ohio; Ohio State University; University of California System; University of California San Diego; Scripps Institution of Oceanography</t>
  </si>
  <si>
    <t>Bromwich, DH (corresponding author), Ohio State Univ, Byrd Polar Res Ctr, Polar Meteorol Grp, 1090 Carmack Rd,108 Scott Hall, Columbus, OH 43210 USA.</t>
  </si>
  <si>
    <t>10.1175/1520-0442(1998)011&lt;0447:TIOACR&gt;2.0.CO;2</t>
  </si>
  <si>
    <t>Green Submitted, Bronze</t>
  </si>
  <si>
    <t>WOS:000072887500009</t>
  </si>
  <si>
    <t>Goff, JR; Dunbar, GB; Barrett, PJ</t>
  </si>
  <si>
    <t>Monthly to decadal sediment accumulation rates in a semi-enclosed embayment</t>
  </si>
  <si>
    <t>JOURNAL OF COASTAL RESEARCH</t>
  </si>
  <si>
    <t>Cs-137; cores; sediment traps; sedimentation rates; anthropogenic influence; Wellington Harbour; wind; flood events; organic content</t>
  </si>
  <si>
    <t>WIND ENERGY-TRANSFER; HISTORICAL-PERSPECTIVE; MARINE SNOW; SALT-MARSH; BALTIC SEA; CS-137; PB-210; PEAT; STRATIFICATION; CONTAMINATION</t>
  </si>
  <si>
    <t>Recent sediment accumulation in Wellington Harbour was recorded by core and sediment trap data. Three cores were analysed by Cs-137, one producing an annual to decadal record of sediment accumulation, the first recorded examples from marine sediments in New Zealand. Sediment traps were deployed adjacent to core sites for a period of 15 months. Sediment accumulation rates of up to 60 mm yr(-1) were recorded with a marked, and sustained, increase occurring in the early 1950's as a result of anthropogenic activity (dumping of dredged material and aggregate extraction). There are distinctly seasonal patterns of low summer and high winter sediment accumulation rates, although there are individual peaks related to flood events. During flood events, wind direction, speed and duration have a significant influence on sediment deposition. Gross and net sedimentation rates were of a similar order of magnitude. Changes in organic content with depth are used to show that contemporary sediment accumulation rates at some locations have reduced the ability of benthic fauna to rework sediment.</t>
  </si>
  <si>
    <t>Univ Victoria, Dept Geol, Wellington, New Zealand; James Cook Univ N Queensland, Dept Geol, Townsville, Qld 4811, Australia; Univ Victoria, Antarctic Res Ctr, Wellington, New Zealand</t>
  </si>
  <si>
    <t>Victoria University Wellington; James Cook University; Victoria University Wellington</t>
  </si>
  <si>
    <t>Goff, JR (corresponding author), Univ Victoria, Dept Geol, POB 600, Wellington, New Zealand.</t>
  </si>
  <si>
    <t>COASTAL EDUCATION &amp; RESEARCH FOUNDATION</t>
  </si>
  <si>
    <t>810 EAST 10TH STREET, LAWRENCE, KS 66044 USA</t>
  </si>
  <si>
    <t>0749-0208</t>
  </si>
  <si>
    <t>J COASTAL RES</t>
  </si>
  <si>
    <t>J. Coast. Res.</t>
  </si>
  <si>
    <t>SPR</t>
  </si>
  <si>
    <t>ZJ198</t>
  </si>
  <si>
    <t>WOS:000073189300008</t>
  </si>
  <si>
    <t>Clarke, J; Kerry, K</t>
  </si>
  <si>
    <t>Implanted transponders in penguins: Implantation, reliability, and long-term effects</t>
  </si>
  <si>
    <t>JOURNAL OF FIELD ORNITHOLOGY</t>
  </si>
  <si>
    <t>STAPHYLOCOCCUS-EPIDERMIDIS; PYGOSCELIS-ADELIAE; ANTARCTICA; SURVIVAL</t>
  </si>
  <si>
    <t>Subcutaneously implanted transponders have proved to be a reliable means of identifying individual penguins. We found survival of Adelie Penguins (Pygoscelis adeliae) carrying transponders over five seasons to be equal to or better than that of birds with flipper bands, although not statistically significant on an annual basis. There were, however occasional problems associated with the use of implanted transponders. The transponder removed from one bird had developed a slimy biofilm harboring potentially pathogenic organisms incorporated at the time of implantation. If such contamination is common, it is possible that the long-term survival of groups of birds carrying implanted transponders may be lower than that of unmarked populations. Migration of transponders away from the injection site has also been demonstrated and may compromise survival in some individuals. These risk factors could limit the use of implanted identification devices in long-lived or endangered species. Introduction of bacteria can be minimized by careful injection techniques and cleansing of instruments and skin with iodine or alcohol. The choice of a suitable implantation site, such as midway down the back, from which transponders may migrate without impinging upon vital structures is also important. The believe that transponders, when used with care, provide a useful alternative to flipper bands in demographic studies of penguins.</t>
  </si>
  <si>
    <t>Australian Antarctic Div, Kingston, Tas 7050, Australia</t>
  </si>
  <si>
    <t>Australian Antarctic Division</t>
  </si>
  <si>
    <t>Clarke, J (corresponding author), Australian Antarctic Div, Channel Highway, Kingston, Tas 7050, Australia.</t>
  </si>
  <si>
    <t>ASSOC FIELD ORNITHOLOGISTS</t>
  </si>
  <si>
    <t>STATESBORO</t>
  </si>
  <si>
    <t>GEORGIA SOUTHERN UNIV, DEPT BIOLOGY, STATESBORO, GA 30460-8042 USA</t>
  </si>
  <si>
    <t>0273-8570</t>
  </si>
  <si>
    <t>J FIELD ORNITHOL</t>
  </si>
  <si>
    <t>J. Field Ornithol.</t>
  </si>
  <si>
    <t>ZT987</t>
  </si>
  <si>
    <t>WOS:000074150000001</t>
  </si>
  <si>
    <t>Worland, MR; Grubor-Lajsic, G; Montiel, PO</t>
  </si>
  <si>
    <t>Partial desiccation induced by sub-zero temperatures as a component of the survival strategy of the Arctic collembolan Onychiurus arcticus (Tullberg)</t>
  </si>
  <si>
    <t>JOURNAL OF INSECT PHYSIOLOGY</t>
  </si>
  <si>
    <t>collembola; dehydration; cryoprotectants; trehalose metabolism; cold tolerance; DSC</t>
  </si>
  <si>
    <t>COLD TOLERANCE; ARTEMIA CYSTS; WATER-LOSS; TREHALOSE; ENVIRONMENTS; ACCUMULATION; ADAPTATIONS; ARTHROPODS; NEMATODES; MOISTURE</t>
  </si>
  <si>
    <t>The mechanism by which the freeze susceptible Arctic collembolan Onychiurus arcticus survives winter temperatures of - 25 degrees C in the field is not fully understood but exposure to sub-zero temperatures (e.g. - 2.5 degrees C) is known to induce dehydration and lower the superfooling point (SCP). In this study, changes in the water status and certain biochemical parameters (measured in individual Collembola) during a 3-week exposure to decreasing temperatures from 0 to - 5.5 degrees C were studied. Osmotically active and inactive body water contents were measured by differential scanning calorimetry (DSC), water soluble carbohydrates by high performances liquid chromatography (HPLC) and glycogen by enzymatic assays. The activity of trehalase and trehalose 6-phosphate synthase were also measured. During the experiment, total water content decreased from 70 to 40% of fresh weight, mostly by the loss of osmotically active water with only a small reduction in the osmotically inactive component. The SCP decreased from - 7 to 17 degrees C. Analysis of the results shows that if 0. arcticus is exposed to - 7 degrees C in the presence of ice, all osmotically active water would be lost due to the vapour pressure gradient between the animals supercooled body fluids and the ice. Under these conditions the estimated SCP would reach a minimum of c. - 27 degrees C, but the Collembola may never freeze as all the osmotically active water has been lost, the animal becoming almost anhydrobiotic. Trehalose concentration increased from 0.9 to 94.7 mu g mg(-1) fw while glycogen reserves declined from 160 to 7.7 nmol glucose equivalents mg(-1) protein. Trehalase activity declined as the temperature was reduced, while trehalose 6-phosphate activity peaked at 0 degrees C. By adopting a strategy of near anhydrobiosis induced by subzero temperatures, O. arcticus, which was previously thought to be poorly adapted to survive severe winter temperatures, is able to colonise high Arctic habitats. (C) 1998 Elsevier Science Ltd. All rights reserved.</t>
  </si>
  <si>
    <t>British Antarctic Survey, Nat Environm Res Council, Cambridge CB3 0ET, England; Univ Novi Sad, Inst Biol, Fac Sci, YU-21000 Novi Sad, Yugoslavia</t>
  </si>
  <si>
    <t>British Antarctic Survey, Nat Environm Res Council, Madingley Rd, Cambridge CB3 0ET, England.</t>
  </si>
  <si>
    <t>0022-1910</t>
  </si>
  <si>
    <t>1879-1611</t>
  </si>
  <si>
    <t>J INSECT PHYSIOL</t>
  </si>
  <si>
    <t>J. Insect Physiol.</t>
  </si>
  <si>
    <t>3-4</t>
  </si>
  <si>
    <t>10.1016/S0022-1910(97)00166-2</t>
  </si>
  <si>
    <t>Entomology; Physiology; Zoology</t>
  </si>
  <si>
    <t>100TG</t>
  </si>
  <si>
    <t>WOS:000074831000002</t>
  </si>
  <si>
    <t>Roccatagliata, AJ; Maier, MS; Seldes, AM</t>
  </si>
  <si>
    <t>New sulfated polyhydroxysteroids from the Antarctic ophiuroid Astrotoma agassizii</t>
  </si>
  <si>
    <t>JOURNAL OF NATURAL PRODUCTS</t>
  </si>
  <si>
    <t>OPHIODERMA-LONGICAUDUM; STARFISH; STEROIDS; SAPONINS</t>
  </si>
  <si>
    <t>Three new and two known sulfated steroidal polyols have been isolated from the Antarctic ophiuroid Astrotoma agassizii. All of the new steroids possess a terminal isopropenyl group and a C-21 sulfoxy moiety in the side chain but differ in the steroidal nuclei. The structures of these new steroids were established from spectral and chemical correlations with related steroids as (20R)-cholesta-5,24-diene-2 beta,3 alpha,21-triol 2,21-disulfate (1), (20R)-5 alpha-cholest-24-ene-2 beta,3 alpha,21-triol 3,21-disulfate (3), and (20R)-cholesta-5,24-diene-2 alpha,3 alpha,4 beta,21-tetrol 3,21-disulfate (5). Analysis of the nonsulfated sterol fraction has shown the presence of cholest-5-en-3 beta-ol, cholesta-5,24-dien-3 beta-ol and (22E) cholesta-5,22-dien-3 beta-ol as the major sterols.</t>
  </si>
  <si>
    <t>Univ Buenos Aires, Fac Ciencias Exactas &amp; Nat, Dept Quim Organ, RA-1428 Buenos Aires, DF, Argentina</t>
  </si>
  <si>
    <t>University of Buenos Aires</t>
  </si>
  <si>
    <t>Maier, MS (corresponding author), Univ Buenos Aires, Fac Ciencias Exactas &amp; Nat, Dept Quim Organ, Pabellon 2,Ciudad Univ, RA-1428 Buenos Aires, DF, Argentina.</t>
  </si>
  <si>
    <t>AMER CHEMICAL SOC</t>
  </si>
  <si>
    <t>1155 16TH ST, NW, WASHINGTON, DC 20036 USA</t>
  </si>
  <si>
    <t>0163-3864</t>
  </si>
  <si>
    <t>J NAT PROD</t>
  </si>
  <si>
    <t>J. Nat. Prod.</t>
  </si>
  <si>
    <t>10.1021/np970429c</t>
  </si>
  <si>
    <t>Plant Sciences; Chemistry, Medicinal; Pharmacology &amp; Pharmacy</t>
  </si>
  <si>
    <t>Index Chemicus (IC); Science Citation Index Expanded (SCI-EXPANDED)</t>
  </si>
  <si>
    <t>Plant Sciences; Pharmacology &amp; Pharmacy</t>
  </si>
  <si>
    <t>ZE993</t>
  </si>
  <si>
    <t>WOS:000072852100014</t>
  </si>
  <si>
    <t>Blake, DB; Aronson, RB</t>
  </si>
  <si>
    <t>Eocene stelleroids (Echinodermata) at Seymour Island, Antarctic Peninsula</t>
  </si>
  <si>
    <t>JOURNAL OF PALEONTOLOGY</t>
  </si>
  <si>
    <t>ASTEROIDEA; OPHIUROIDS; PREDATION</t>
  </si>
  <si>
    <t>The new asteroid species Sclerasterias zinsmeisteri (Asteriidae), Paragonaster clarkae, Tesselaster clarki (both Goniasteridae), and the new ophiuroid species Ophiura hendleri (Ohiuridae) are described from the late Eocene La Meseta Formation at Seymour Island, Antarctic Peninsula. The arm tip of an apparently new genus of the Oreasteridae is too incomplete to assign at the generic level. Other La Meseta asteroid species have been described elsewhere. Six of seven recognized stelleroid genera and all represented families survive, and differences between new species and existing congeneric species are Subtle. Thus, the La Meseta fauna was similar to living faunas in basic composition. Among La Meseta asteroids, Zoroaster aff. Z. fulgens and Ctenophoraster downeyae are known from numerous specimens; fossils of the other species are comparatively uncommon and given the uncertainties of sampling, further taxa might await discovery at Seymour Island. Although the Paxillosida is known from Jurassic rocks, fasciole-bearing, semi-infaunal genera are first known from Cretaceous deposits, and Astropecten and Astropecten-like Ctenophoraster are first recorded from Cenozoic rocks. Zoroaster and Tesselaster are only known from deep water settings today, although they are found in the La Meseta. Ophiura hendleri, the only ophiuroid recognized to date from the La Meseta, occurs singly, in small groups, and in Paleozoic-type ophiuroid-rich beds.</t>
  </si>
  <si>
    <t>Univ Illinois, Dept Geol, Urbana, IL 61801 USA; Dauphin Isl Sea Lab, Dauphin Island, AL 36528 USA</t>
  </si>
  <si>
    <t>University of Illinois System; University of Illinois Urbana-Champaign; Dauphin Island Sea Lab</t>
  </si>
  <si>
    <t>Blake, DB (corresponding author), Univ Illinois, Dept Geol, 1301 W Green St, Urbana, IL 61801 USA.</t>
  </si>
  <si>
    <t>dblake@uiuc.edu; raronson@jaguar1.usouthal.edu</t>
  </si>
  <si>
    <t>Aronson, Richard/0000-0003-0383-3844</t>
  </si>
  <si>
    <t>PALEONTOLOGICAL SOC INC</t>
  </si>
  <si>
    <t>810 EAST 10TH ST, LAWRENCE, KS 66044 USA</t>
  </si>
  <si>
    <t>0022-3360</t>
  </si>
  <si>
    <t>J PALEONTOL</t>
  </si>
  <si>
    <t>J. Paleontol.</t>
  </si>
  <si>
    <t>10.1017/S0022336000036325</t>
  </si>
  <si>
    <t>Paleontology</t>
  </si>
  <si>
    <t>ZF461</t>
  </si>
  <si>
    <t>WOS:000072899800013</t>
  </si>
  <si>
    <t>Chiswell, SM; Sutton, PJH</t>
  </si>
  <si>
    <t>A deep eddy in the Antarctic intermediate water north of the Chatham rise</t>
  </si>
  <si>
    <t>JOURNAL OF PHYSICAL OCEANOGRAPHY</t>
  </si>
  <si>
    <t>OCEAN</t>
  </si>
  <si>
    <t>In mid-1996, a hydrographic survey was made over the Chatham Rise, near New Zealand. A deep isolated eddy of Antarctic Intermediate Water was found north of the rise between 1200 and 1800 dbar. It was widest on a potential density surface (sigma(1)) of 32.1. Potential-temperature salinity and potential-temperature oxygen characteristics identify the eddy as having a source south of the Chatham Rise. This eddy was too deep to have passed over the Chatham Rise, and the only way it could have reached this position was by flowing around the eastern end of the Chatham Rise. The authors hypothesize that the intrusion may have been generated by a similar mechanism to that proposed for Mediterranean eddies, so that eddies are formed by separation of a frictional boundary layer at the and of the Chatham Rise. Once the intrusion is formed, it was most likely advected to its observed position, 500 km from the generation region, by recirculation within a much larger-scale permanent eddy found off the south east of the North island (the Wairarapa Eddy).</t>
  </si>
  <si>
    <t>NIWA, New Zealand Oceanog Inst, Wellington, New Zealand</t>
  </si>
  <si>
    <t>National Institute of Water &amp; Atmospheric Research (NIWA) - New Zealand</t>
  </si>
  <si>
    <t>Chiswell, SM (corresponding author), NIWA, New Zealand Oceanog Inst, POB 14-901, Wellington, New Zealand.</t>
  </si>
  <si>
    <t>Sutton, Phil/0000-0003-2936-0918; Chiswell, Stephen/0000-0002-5957-3706</t>
  </si>
  <si>
    <t>0022-3670</t>
  </si>
  <si>
    <t>J PHYS OCEANOGR</t>
  </si>
  <si>
    <t>J. Phys. Oceanogr.</t>
  </si>
  <si>
    <t>10.1175/1520-0485(1998)028&lt;0535:ADEITA&gt;2.0.CO;2</t>
  </si>
  <si>
    <t>ZA958</t>
  </si>
  <si>
    <t>WOS:000072419700010</t>
  </si>
  <si>
    <t>McCarron, JJ; Larter, RD</t>
  </si>
  <si>
    <t>Late Cretaceous to early Tertiary subduction history of the Antarctic Peninsula</t>
  </si>
  <si>
    <t>JOURNAL OF THE GEOLOGICAL SOCIETY</t>
  </si>
  <si>
    <t>Antarctica; plate rotation; magnetic anomalies; subduction; andesites</t>
  </si>
  <si>
    <t>MARIE-BYRD-LAND; TECTONIC HISTORY; WEST ANTARCTICA; FRACTURE-ZONE; FORE-ARC; PACIFIC; PLATE; EVOLUTION; MOTION; RIDGE</t>
  </si>
  <si>
    <t>Quantitative estimates of the rates and azimuths of Phoenix plate convergence with the Antarctic Peninsula have been derived from plate rotation calculations for two periods in the Late Cretaceous and early Tertiary (83.0-67.7 and 61.1-53.4 Ma). Published marine magnetic anomaly identifications and 'flow lines' interpreted from gravity anomaly maps were used in simple spherical geometry calculations to derive Phoenix-Pacific stage rotations. These were combined with published Pacific-Antarctic rotation data to determine contemporaneous Phoenix-Antarctic stage rotations. The results indicate a significant change in azimuths of relative motion between the Late Cretaceous and early Tertiary. Late Cretaceous, and perhaps earlier, oblique subduction probably caused migration of fore-are slivers along the margin, resulting in variations in width of the accretionary prism. Comparison between synthetic magnetic profiles and a 900 km long magnetic profile across ocean floor produced at the Antarctic-Phoenix ridge during the early Tertiary establishes the time of a major decrease in spreading rate, and hence also in convergence rate, as chron C23r (52.3 Ma). The associated change in subduction dynamics may have caused the dextral transtensional deformation observed in the George VI Sound region and initiated uplift of blueschist facies rocks now exposed on Smith Island. The calculated convergence history does not provide a simple explanation for the occurrence of high-Mg# andesite lavas on Alexander Island, which were erupted more than 20 Ma before the Antarctic-Phoenix ridge arrived at the margin. The existence of these lavas implies either earlier subduction of another ridge or slab break-up beneath Alexander Island.</t>
  </si>
  <si>
    <t>British Antarctic Survey, Cambridge CB3 0ET, England</t>
  </si>
  <si>
    <t>McCarron, JJ (corresponding author), Companias Shell de Colombia, Expat Mail,Postbus 245, NL-2501 CE Den Haag, Netherlands.</t>
  </si>
  <si>
    <t>r.larter@bas.ac.uk</t>
  </si>
  <si>
    <t>Larter, Robert/0000-0002-8414-7389</t>
  </si>
  <si>
    <t>GEOLOGICAL SOC PUBL HOUSE</t>
  </si>
  <si>
    <t>BATH</t>
  </si>
  <si>
    <t>UNIT 7, BRASSMILL ENTERPRISE CENTRE, BRASSMILL LANE, BATH, AVON, ENGLAND BA1 3JN</t>
  </si>
  <si>
    <t>0016-7649</t>
  </si>
  <si>
    <t>J GEOL SOC LONDON</t>
  </si>
  <si>
    <t>J. Geol. Soc.</t>
  </si>
  <si>
    <t>10.1144/gsjgs.155.2.0255</t>
  </si>
  <si>
    <t>Geosciences, Multidisciplinary</t>
  </si>
  <si>
    <t>ZB707</t>
  </si>
  <si>
    <t>WOS:000072499500004</t>
  </si>
  <si>
    <t>McCarron, JJ; Smellie, JL</t>
  </si>
  <si>
    <t>Tectonic implications of fore-arc magmatism and generation of high-magnesian andesites: Alexander Island, Antarctica</t>
  </si>
  <si>
    <t>Antarctica; andesites; fore-arc basin; subduction; magmatism</t>
  </si>
  <si>
    <t>TRENCH INTERACTION; CONTINENTAL-CRUST; VOLCANIC BELT; PENINSULA; SUBDUCTION; SERIES; ORIGIN; JAPAN; PLATE; ZONE</t>
  </si>
  <si>
    <t>Alexander Island, situated off the west coast of the Antarctic Peninsula, contains a suite of Late Cretaceous to Early Tertiary subduction-related magmatic rocks. Thr rocks occupy a fore-are position 100-200 km trenchward of the main are (Antarctic Peninsula) and they become younger northward along the length of the island. Major and trace element geochemistry for 222 samples shows the suite to be a medium-to high-K calc-alkaline series, ranging in composition from picro-basalt to rhyolite. Andesite samples show a large range in MgO and Mg#, with nine samples representing high-magnesian andesites. Sr and Nd isotopic data indicate that the andesites range isotopically to more depleted mantle compositions than the associated basalts. The dacite/rhyolites can be related compositionally to the andesites by assimilation of typical Pacific rim accretionary material. To produce high-magnesian andesite lavas, it is necessary to introduce a suitable source of heat into the fore-are, thus enabling partial melting of depleted sub fore-are hydrous peridotite. A causative link with ridge subduction prior to magmatism is proposed, with successive ridge-trench collisions producing a temporal migration of the magmatism and high geothermal gradients in an anomalously hot fore-are region.</t>
  </si>
  <si>
    <t>British Antarctic Survey, Natl Environm Res Council, Cambridge CB3 0ET, England</t>
  </si>
  <si>
    <t>McCarron, JJ (corresponding author), Campanias Shell Colombia, Expat Mail,Postbus 245, NL-2501 CE Den Haag, Netherlands.</t>
  </si>
  <si>
    <t>J.Smellie@bas.ac.uk</t>
  </si>
  <si>
    <t>10.1144/gsjgs.155.2.0269</t>
  </si>
  <si>
    <t>WOS:000072499500005</t>
  </si>
  <si>
    <t>Mikouchi, T; Miyamoto, M; McKay, GA</t>
  </si>
  <si>
    <t>Mineralogy of Antarctic basaltic shergottite Queen Alexandra Range 94201: Similarities to Elephant Moraine A79001 (Lithology B) martian meteorite</t>
  </si>
  <si>
    <t>METEORITICS &amp; PLANETARY SCIENCE</t>
  </si>
  <si>
    <t>CRYSTALLIZATION; ZAGAMI; PETROGENESIS; MAGMA</t>
  </si>
  <si>
    <t>Antarctic meteorite QUE 94201 is a new basaltic shergottite that is mainly composed of subequal amounts of maskelynite and pyroxenes (pigeonite and augite) plus abundant merrillite and accessory phases. It also contains impact melt. Complex zoning patterns in QUE 94201 pyroxenes revealed by elemental map analyses using an electron microprobe suggest a crystallization sequence from Mg-rich pigeonite (En(62)Fs(30)Wo(8)) to extremely Fe-rich pigeonite (En(5)Fs(81)Wo(l4)) via {110} Mg-rich augite bands (En(44)Fs(20)Wo(36)) in a single crystal. These textures, along with the abundant plagioclase (maskelynite), indicates single-stage rapid cooling (&gt;5 degrees C/year) of this rock from a supercooled magma. Transition from Mg-rich augite to Fe-rich pigeonite reflects the onset of plagioclase crystallization. Enrichment of late-stage phases in QUE 94201 implies crystallization from an evolved magma and suggests a different parent magma composition from the other basaltic shergottites. Lithology B of EETA79001 basaltic shergottite contains pyroxenes that show complex zoning with augite bands similar to those in QUE 94201 pyroxene, which suggests similar one-stage rapid cooling. Lithology B of EETA79001 also resembles QUE 94201 in its coarse-grained texture of silicates and its high abundance of maskelynite, although QUE 94201 probably crystallized from a more fractionated magma. We also note that some Apollo lunar mare basalts (e.g., 12020 and 12021) have similar mineralogy and petrology to QUE 94201, especially in pyroxene zoning. All these basaltic rocks with complex pyroxene zoning suggest rapid metastable crystallization from supercooled magmas.</t>
  </si>
  <si>
    <t>Univ Tokyo, Grad Sch Sci, Inst Mineral, Tokyo 113, Japan; NASA, Lyndon B Johnson Space Ctr, Planetary Sci Branch SN4, Houston, TX 77058 USA</t>
  </si>
  <si>
    <t>University of Tokyo; National Aeronautics &amp; Space Administration (NASA); NASA Johnson Space Center</t>
  </si>
  <si>
    <t>Mikouchi, T (corresponding author), Univ Tokyo, Grad Sch Sci, Inst Mineral, Tokyo 113, Japan.</t>
  </si>
  <si>
    <t>mikouchi@min.s.u-tokyo.ac.jp</t>
  </si>
  <si>
    <t>Mikouchi, Takashi/AAY-7355-2021</t>
  </si>
  <si>
    <t>Mikouchi, Takashi/0000-0002-9998-8754</t>
  </si>
  <si>
    <t>METEORITICAL SOC</t>
  </si>
  <si>
    <t>FAYETTEVILLE</t>
  </si>
  <si>
    <t>DEPT CHEMISTRY/BIOCHEMISTRY, UNIV ARKANSAS, FAYETTEVILLE, AR 72701 USA</t>
  </si>
  <si>
    <t>0026-1114</t>
  </si>
  <si>
    <t>METEORIT PLANET SCI</t>
  </si>
  <si>
    <t>Meteorit. Planet. Sci.</t>
  </si>
  <si>
    <t>10.1111/j.1945-5100.1998.tb01624.x</t>
  </si>
  <si>
    <t>ZF084</t>
  </si>
  <si>
    <t>WOS:000072861000004</t>
  </si>
  <si>
    <t>Greshake, A; Klock, W; Arndt, P; Maetz, M; Flynn, GJ; Bajt, S; Bischoff, A</t>
  </si>
  <si>
    <t>Heating experiments simulating atmospheric entry heating of micrometeorites: Clues to their parent body sources</t>
  </si>
  <si>
    <t>INTERPLANETARY DUST PARTICLES; STRATOSPHERIC MICROMETEORITES; CARBONACEOUS CHONDRITES; PRIMITIVE METEORITES; EARTHS ATMOSPHERE; ACCRETION RATE; ORGUEIL CI; MINERALOGY; GREENLAND; SULFUR</t>
  </si>
  <si>
    <t>Depending on their velocity, entry angle and mass, extraterrestrial dust particles suffer certain degrees of heating during entry into Earth's atmosphere, and the mineralogy and chemical composition of these dust particles are significantly changed. In the present study, pulse-heating experiments simulating the atmospheric entry heating of micrometeoroids were carried out in order to understand the mineralogical and chemical changes quantitatively as well as to estimate the peak temperature experienced by the particles during entry heating. Fragments of the CI chondrites Orgueil and Alais as well as pyrrhotites from Orgueil were used as analogue material. The experiments show that the volatile elements S, Zn, Ga, Ge, and Se can be lost from 50 to 100 mu m sized CI meteorite fragments at temperatures and heating times applicable to the entry heating of similar sized cosmic dust particles. It is concluded that depletions of these elements relative to CI as observed in micrometeorites are mainly caused by atmospheric entry heating. Besides explaining the element abundances in micrometeorites, the experimentally obtained release patterns can also be used as indicators to estimate the peak heating of dust particles during entry. Using the abundances of Zn and Ge and assuming their original concentrations close to CI, a maximum heating of 1100-1200 degrees C is obtained for previously analyzed Antarctic micrometeroites. Thermal alteration also strongly influenced the mineralogy of the meteorite fragments. While the unheated samples mainly consisted of phyliosilicates, these phases almost completely transformed into olivine and pyroxene in the fragments heated to greater than or equal to 800 degrees C. Therefore, dust particles that still contain hydrous minerals were probably never heated to temperatures greater than or equal to 800 degrees C in the atmosphere. During continued heating, the grain size of the newly formed silicates increased and the composition of the olivines equilibrated. Applying these results quantitatively to Antarctic micrometeorites, typical peak temperatures in the range of 1100-1200 degrees C during atmospheric entry heating are deduced. This temperature range corresponds to the one obtained from the volatile element concentrations measured in these micrometeorites and points to an asteroidal origin of the particles.</t>
  </si>
  <si>
    <t>Univ Munster, Inst Paleontol, D-48149 Munster, Germany; Univ Halle Wittenberg, Inst Geol Wissensch, D-4010 Halle, Germany; SUNY Coll Plattsburgh, Dept Phys, Plattsburgh, NY 12901 USA; Univ Chicago, Chicago, IL 60637 USA</t>
  </si>
  <si>
    <t>University of Munster; Martin Luther University Halle Wittenberg; State University of New York (SUNY) System; SUNY Plattsburgh; University of Chicago</t>
  </si>
  <si>
    <t>Greshake, A (corresponding author), Humboldt Univ, Inst Mineral, Museum Naturkunde, Invalidenstr 43, D-10115 Berlin, Germany.</t>
  </si>
  <si>
    <t>ansgar.greshake@rz.hu-berlin.de</t>
  </si>
  <si>
    <t>Bajt, Sasa/G-2228-2010</t>
  </si>
  <si>
    <t>Bajt, Sasa/0000-0002-7163-7602</t>
  </si>
  <si>
    <t>WILEY-BLACKWELL</t>
  </si>
  <si>
    <t>MALDEN</t>
  </si>
  <si>
    <t>COMMERCE PLACE, 350 MAIN ST, MALDEN 02148, MA USA</t>
  </si>
  <si>
    <t>1086-9379</t>
  </si>
  <si>
    <t>10.1111/j.1945-5100.1998.tb01632.x</t>
  </si>
  <si>
    <t>WOS:000072861000012</t>
  </si>
  <si>
    <t>Wadhwa, M; Crozaz, G; Taylor, LA; McSween, HY</t>
  </si>
  <si>
    <t>Martian basalt (shergottite) Queen Alexandra Range 94201 and lunar basalt 15555: A tale of two pyroxenes</t>
  </si>
  <si>
    <t>RARE-EARTH ELEMENTS; CRYSTALLIZATION; CHEMISTRY; MINERALS; MAGMA</t>
  </si>
  <si>
    <t>We present here ion microprobe analyses of rare earth and other selected trace and minor elements in pyroxenes of shergottite Queen Alexandra Range 94201 and lunar basalt 15555. Pyroxene zonation patterns record the crystallization histories of these two basaltic samples from Mars and the Moon, respectively, and allow a comparison of mafic melt evolution on these two planetary bodies. Elemental abundances and trends in pyroxenes of these two rocks indicate that their minerals formed by continuous, closed system fractional crystallization of their respective parent melts. This further supports the idea that QUE 94201 closely represents the composition of a true Martian basaltic melt (McSween el al., 1996). The main differences in pyroxene elemental zonation patterns in these two objects are attributed to earlier crystallization of whitlockite in QUE 94201 (i.e., before the Fe-rich pyroxenes) than in 15555 (after the Fe-rich pyroxenes). The size of Eu anomalies in pyroxenes of QUE 94201 is intermediate between that in pyroxenes of 15555 and the other shergottites and may imply that fO(2) conditions during crystallization of this Martian basalt were significantly more reducing than for other shergottites, although not quite as reducing as for lunar basalts. Cerium anomalies appear to be less prevalent in pyroxenes of QUE 94201 than other Antarctic shergottites and could be indicative of lesser degree of weathering in the Antarctic.</t>
  </si>
  <si>
    <t>Field Museum Nat Hist, Dept Geol, Chicago, IL 60605 USA; Washington Univ, Dept Earth &amp; Planetary Sci, St Louis, MO 63130 USA; Washington Univ, McDonnell Ctr Space Sci, St Louis, MO 63130 USA</t>
  </si>
  <si>
    <t>Field Museum of Natural History (Chicago); Washington University (WUSTL); Washington University (WUSTL)</t>
  </si>
  <si>
    <t>Wadhwa, M (corresponding author), Field Museum Nat Hist, Dept Geol, Roosevelt Rd &amp; Lake Shore Dr, Chicago, IL 60605 USA.</t>
  </si>
  <si>
    <t>mwadhwa@fmnh.org</t>
  </si>
  <si>
    <t>HOBOKEN</t>
  </si>
  <si>
    <t>111 RIVER ST, HOBOKEN 07030-5774, NJ USA</t>
  </si>
  <si>
    <t>1945-5100</t>
  </si>
  <si>
    <t>10.1111/j.1945-5100.1998.tb01636.x</t>
  </si>
  <si>
    <t>WOS:000072861000016</t>
  </si>
  <si>
    <t>Sanfilippo, A; Caulet, JP</t>
  </si>
  <si>
    <t>Taxonomy and evolution of paleogene Antarctic and tropical lophocyrtid radiolarians</t>
  </si>
  <si>
    <t>MICROPALEONTOLOGY</t>
  </si>
  <si>
    <t>DRILLING PROJECT LEG-71; FALKLAND PLATEAU REGION; CENOZOIC RADIOLARIANS; SOUTHWEST ATLANTIC; EOCENE; DIATOMS</t>
  </si>
  <si>
    <t>Investigation of three-segmented theoperids through successive stratigraphic levels in Antarctic Paleogene sediment sequences, and a tropical reference section, resulted in recognition of four groups characterized by different cephalic structures taxonomically treated as the new genera, Aphetocyrtis and Clinorhabdus, the new subgenus Lophocyrtis (Apoplanius), and the previously described subgenus Lophocyrtis (Lophocyrtis). All four lineages are represented in Middle Eocene sediments from the Antarctic. The Antarctic representatives of the tropical Lophocyrtis (Lophocyrtis) lineage become extinct at the end of the Middle Eocene. The diversity of the two new genera, restricted to the Antarctic, is at a peak in the Oligocene interval, coincident with the major cooling event reported during this interval. Most of the new species are endemic to the Antarctic, and only three have been sporadically found in rare abundance in tropical areas. One geographic invasion from the tropics to the Antarctic is documented. The following ten new taxa are described: Aphetocyrtis gnomabax, A., catalexis, A. rossi, Lophocyrtis (Apoplanius) nomas, L. (A.) keraspera, L. (A.) klydus, Lophocyrtis (Lophocyrtis) jacchia; hapsis, Lophocyrtis (Lophocyrtis ?) zeira, Clinorhabdus anantomus and C. ocymora. Species whose definitions have been emended herein are: Lophocyrtis (Apoplanius) aspera, Lophocyrtis (Lophocyrtis) jacchia jacchia, L. (L. ?) barbadense, L. (L. ?) semipolita, Clinorhabdus longithorax and C. robusta.</t>
  </si>
  <si>
    <t>Univ Calif San Diego, Scripps Inst Oceanog, La Jolla, CA 92093 USA; Museum Natl Hist Nat, Geol Lab, CNRS 723, F-75005 Paris, France</t>
  </si>
  <si>
    <t>University of California System; University of California San Diego; Scripps Institution of Oceanography; Museum National d'Histoire Naturelle (MNHN)</t>
  </si>
  <si>
    <t>Sanfilippo, A (corresponding author), Univ Calif San Diego, Scripps Inst Oceanog, La Jolla, CA 92093 USA.</t>
  </si>
  <si>
    <t>MICROPALEONTOLOGY PRESS</t>
  </si>
  <si>
    <t>AMER MUSEUM NAT HISTORY 79TH ST AT CENTRAL PARK WEST, NEW YORK, NY 10024 USA</t>
  </si>
  <si>
    <t>0026-2803</t>
  </si>
  <si>
    <t>Micropaleontology</t>
  </si>
  <si>
    <t>10.2307/1486083</t>
  </si>
  <si>
    <t>ZL579</t>
  </si>
  <si>
    <t>WOS:000073448500001</t>
  </si>
  <si>
    <t>Lavrenov, IV</t>
  </si>
  <si>
    <t>The wave energy concentration at the Agulhas current off South Africa</t>
  </si>
  <si>
    <t>NATURAL HAZARDS</t>
  </si>
  <si>
    <t>freak waves; Agulhas current; ship collision; wave energy; modelling of wave transformation on current</t>
  </si>
  <si>
    <t>The case of a freak wave collision with the ship in the Agulhas current is described. The explanation of the appearance of the freak wave as a result of wind-wave transformation in the Agulhas current is given. Swell is captured and intensified by the counter-current and is located in the neighbourhood of the maximum value of the current velocity, as a result of which there is a great concentration of wave-energy density. The superposition of wind and sea with swell transformed by the current promotes the formation of the freak waves. Using a simple mathematical analysis, an optimal ship track is proposed which could reduce the risk of collision with a freak wave.</t>
  </si>
  <si>
    <t>Arctic &amp; Antarctic Res Inst, St Petersburg 199397, Russia</t>
  </si>
  <si>
    <t>Arctic &amp; Antarctic Research Institute</t>
  </si>
  <si>
    <t>Lavrenov, IV (corresponding author), Arctic &amp; Antarctic Res Inst, Av Bering 38, St Petersburg 199397, Russia.</t>
  </si>
  <si>
    <t>KLUWER ACADEMIC PUBL</t>
  </si>
  <si>
    <t>DORDRECHT</t>
  </si>
  <si>
    <t>SPUIBOULEVARD 50, PO BOX 17, 3300 AA DORDRECHT, NETHERLANDS</t>
  </si>
  <si>
    <t>0921-030X</t>
  </si>
  <si>
    <t>NAT HAZARDS</t>
  </si>
  <si>
    <t>Nat. Hazards</t>
  </si>
  <si>
    <t>10.1023/A:1007978326982</t>
  </si>
  <si>
    <t>Geosciences, Multidisciplinary; Meteorology &amp; Atmospheric Sciences; Water Resources</t>
  </si>
  <si>
    <t>Geology; Meteorology &amp; Atmospheric Sciences; Water Resources</t>
  </si>
  <si>
    <t>117VX</t>
  </si>
  <si>
    <t>WOS:000075804300002</t>
  </si>
  <si>
    <t>Block, W; Wharton, DA; Sinclair, BJ</t>
  </si>
  <si>
    <t>Cold tolerance of a New Zealand alpine cockroach, Celatoblatta quinquemaculata (Dictyoptera, Blattidae)</t>
  </si>
  <si>
    <t>PHYSIOLOGICAL ENTOMOLOGY</t>
  </si>
  <si>
    <t>cockroach; alpine; New Zealand; ecophysiology; freeze tolerance; frozen water; osmotically inactive water</t>
  </si>
  <si>
    <t>MAORI HUTTON ORTHOPTERA; FREEZING-TOLERANCE; ICE FORMATION; RECRYSTALLIZATION; STENOPELMATIDAE; HARDINESS; INSECTS; WATER; WETA</t>
  </si>
  <si>
    <t>Ecophysiological features, including survival and recovery from freezing and determination of the freezable water content, are reported for a cold-adapted cockroach Celatoblatta quinquemaculata Johns 1966 (Dictyoptera, Blattidae) inhabiting alpine communities at altitudes greater than 1300 m a.s.l. in mountains of Central Otago, New Zealand. Nymphs ranged from 15 to 51 mg live weight of which 67% was water. Cockroaches had a mean supercooling point temperature of -5.4 +/- 0.1 degrees C; with recovery from freezing close to this temperature being rapid, but no recovery was observed when frozen at -9 to -10 degrees C. The duration of exposure to freezing conditions and the time allowed for recovery (24-96 h) both influenced individual recovery and subsequent survival. Comparison of supercooling point data and survival shows that this species possesses a few degrees of freeze tolerance, and individuals have been found frozen in the held when subzero temperatures occur. Differential scanning calorimetry showed approximate to 74% of body water froze during cooling and between 24 and 27% of total body water was osmotically inactive (unfreezable under the experimental conditions). Carbohydrates, other than glucose at 7.5 mu g/mg fresh weight, were in low concentrations in the body fluids, suggesting little cryoprotection. No thermal hysteresis from antifreeze protein activity was detected in haemolymph samples using calorimetric techniques. It is suggested that slow environmental cooling rates, together with high individual supercooling points, confer a small amount of freezing tolerance on this species enabling it to survive low winter temperatures. This has allowed it to colonize and maintain populations in alpine habitats &gt;1300 m a.s.l. in New Zealand.</t>
  </si>
  <si>
    <t>British Antarctic Survey, NERC, Cambridge CB3 0ET, England; Univ Otago, Dept Zool, Dunedin, New Zealand</t>
  </si>
  <si>
    <t>UK Research &amp; Innovation (UKRI); Natural Environment Research Council (NERC); NERC British Antarctic Survey; University of Otago</t>
  </si>
  <si>
    <t>British Antarctic Survey, NERC, High Cross,Madingley Rd, Cambridge CB3 0ET, England.</t>
  </si>
  <si>
    <t>wcb@bas.ac.uk</t>
  </si>
  <si>
    <t>Sinclair, Brent J/C-6133-2012</t>
  </si>
  <si>
    <t>Sinclair, Brent/0000-0002-8191-9910; Wharton, David/0000-0001-6369-4984</t>
  </si>
  <si>
    <t>WILEY</t>
  </si>
  <si>
    <t>0307-6962</t>
  </si>
  <si>
    <t>1365-3032</t>
  </si>
  <si>
    <t>PHYSIOL ENTOMOL</t>
  </si>
  <si>
    <t>Physiol. Entomol.</t>
  </si>
  <si>
    <t>10.1046/j.1365-3032.1998.2310001.x</t>
  </si>
  <si>
    <t>Entomology</t>
  </si>
  <si>
    <t>ZF855</t>
  </si>
  <si>
    <t>WOS:000072940000001</t>
  </si>
  <si>
    <t>Arnaud, PM; Lopez, CM; Olaso, I; Ramil, F; Ramos-Espla, AA; Ramos, A</t>
  </si>
  <si>
    <t>Semi-quantitative study of macrobenthic fauna in the region of the South Shetland Islands and the Antarctic Peninsula</t>
  </si>
  <si>
    <t>POLAR BIOLOGY</t>
  </si>
  <si>
    <t>SOUTHEASTERN WEDDELL SEA; COMMUNITIES; SHELF</t>
  </si>
  <si>
    <t>During the BENTART 95 Expedition, 24 Agassiz trawls for macrozoobenthos sampling were carried out at depths of 40-850 m, from north of Livingston Island to the Antarctic Peninsula. The samples were analysed using a semi-quantitative method, and with the resulting numerical data, transformed into a six-point scale, we constructed a Bray-Curtis similarity matrix. A total of 74,624 specimens, belonging to 38 taxonomic groups, were collected. The most abundant group was Polychaeta Sedentaria, with 36% of the total, whereas the highest relative masses were from Ascidiacea (23%), Echinoidea Regularia (18%) and Ophiuroidea (16%). The maximum number of specimens recorded was 15,600 ind./50 l. Cluster analysis separated stations located in Foster Bay (Deception Island), characterised by low taxonomic richness and high relative mass (average: 26.7 kg). A zonation of ascidians, regular sea urchins and ophiuroids was observed at Deception Island. clearly related to depth and substratum type. The remaining stations were separated into two groups. The first one comprised the shallowest stations (40-130 m), dominated by sessile active filter-feeders, belonging to Ascidiacea, Demospongia and Bryozoa, and probably related to high primary production zones. The second group comprised deeper stations and was dominated by classes exhibiting a diversity of trophic strategies: Ophiuroidea and Asteroidea, to 400 m, and Polychaeta Sedentaria at greater depths.</t>
  </si>
  <si>
    <t>Univ Vigo, Fac Ciencias, Dept Ecol &amp; Biol Anim, E-36200 Vigo, Pontevedra, Spain; Marine Endoume Stn, F-13007 Marseille, France; Univ Sevilla, Fac Biol, Dept Ecol &amp; Biol Anim, E-41080 Seville, Spain; Inst Espanol Oceanog, E-39080 Santander, Spain; Univ Alicante, Fac Ciencias, Dept Ciencias Ambientales, E-03080 Alicante, Spain; Inst Espanol Oceanog, Malaga 29640, Spain</t>
  </si>
  <si>
    <t>Universidade de Vigo; University of Sevilla; Spanish Institute of Oceanography; Universitat d'Alacant; Spanish Institute of Oceanography</t>
  </si>
  <si>
    <t>Ramil, F (corresponding author), Univ Vigo, Fac Ciencias, Dept Ecol &amp; Biol Anim, E-36200 Vigo, Pontevedra, Spain.</t>
  </si>
  <si>
    <t>framil@uvigo.es</t>
  </si>
  <si>
    <t>López-Fé, Carlos M./I-6342-2018; Ramos Espla, Alfonso/P-6885-2014</t>
  </si>
  <si>
    <t>Ramos Espla, Alfonso/0000-0002-6886-218X; Ramil, Fran/0000-0002-9146-8201</t>
  </si>
  <si>
    <t>SPRINGER VERLAG</t>
  </si>
  <si>
    <t>175 FIFTH AVE, NEW YORK, NY 10010 USA</t>
  </si>
  <si>
    <t>0722-4060</t>
  </si>
  <si>
    <t>POLAR BIOL</t>
  </si>
  <si>
    <t>Polar Biol.</t>
  </si>
  <si>
    <t>10.1007/s003000050229</t>
  </si>
  <si>
    <t>Biodiversity Conservation; Ecology</t>
  </si>
  <si>
    <t>Biodiversity &amp; Conservation; Environmental Sciences &amp; Ecology</t>
  </si>
  <si>
    <t>ZB010</t>
  </si>
  <si>
    <t>WOS:000072425800002</t>
  </si>
  <si>
    <t>Pugh, PJA; McInnes, SJ</t>
  </si>
  <si>
    <t>The origin of Arctic terrestrial and freshwater tardigrades</t>
  </si>
  <si>
    <t>DRONNING-MAUD-LAND; CRYOCONITE HOLES; COLD TOLERANCE; ANTARCTICA; PENINSULA; GLACIER; ALGAE</t>
  </si>
  <si>
    <t>The tardigrade faunas of six Arctic sites (Canadian Axel Heiberg I., east and west coasts of Greenland, Iceland, Svalbard, Novaya Zemlya and the Russian Taimyr Peninsula) form, with those of northern North America, a coherent Nearctic-Arctic biogeographic cluster. This cluster is distinct from that of Northern and Alpine Europe. Few, if any, Arctic tardigrades survived Pleistocene glaciation in situ amongst ice-free refugia. Similarly, few/none moved south ahead of the advancing ice-cap into the deglaciated Palaearctic and Nearctic and subsequently returned north during the Holocene deglaciation. It is more probable that most Arctic tardigrades are derived from wind-blown Nearctic propagules that colonized the region during the Holocene.</t>
  </si>
  <si>
    <t>pjapu@pcmail.nerc-bas.ac.uk</t>
  </si>
  <si>
    <t>McInnes, Sandra/AAN-4773-2020</t>
  </si>
  <si>
    <t>McInnes, Sandra/0000-0003-3403-9379</t>
  </si>
  <si>
    <t>SPRINGER</t>
  </si>
  <si>
    <t>ONE NEW YORK PLAZA, SUITE 4600, NEW YORK, NY, UNITED STATES</t>
  </si>
  <si>
    <t>1432-2056</t>
  </si>
  <si>
    <t>10.1007/s003000050232</t>
  </si>
  <si>
    <t>WOS:000072425800005</t>
  </si>
  <si>
    <t>Kawecka, B; Olech, M; Nowogrodzka-Zagorska, M; Wojtun, B</t>
  </si>
  <si>
    <t>Diatom communities in small water bodies at H. Arctowski Polish Antarctic Station (King George Island, South Shetland Islands, Antarctica)</t>
  </si>
  <si>
    <t>An investigation of ponds, puddles and slow-flowing waters situated in the area of the Polish Antarctic Station distinguished two groups of diatom communities. The first group characterized waters poor in nutrients and brackish. The number of taxa, abundance of species and diatom biomass index were all low. Nitzschia homburgiensis, Achnanthes laevis var. quadratarea and A. delicatula prevailed. The second group characterized water richer in nutrients and brackish. The number of species was also low, but the diatom biomass index was higher. Nitzschia gracilis, Navicula gregaria and Navicula wiesneri formed large populations.</t>
  </si>
  <si>
    <t>Polish Acad Sci, Karl Starmach Inst Freshwater Biol, PL-31016 Krakow, Poland; Jagiellonian Univ, Inst Bot, PL-31512 Krakow, Poland; Jagiellonian Univ, Sch Med, Dept Otolaryngol, Lab Scanning Electron Microscopy, PL-31501 Krakow, Poland; Agr Acad, Dept Bot &amp; Plant Physiol, PL-50205 Wroclaw, Poland</t>
  </si>
  <si>
    <t>Polish Academy of Sciences; Jagiellonian University; Jagiellonian University; Wroclaw University of Environmental &amp; Life Sciences</t>
  </si>
  <si>
    <t>Kawecka, B (corresponding author), Polish Acad Sci, Karl Starmach Inst Freshwater Biol, Slawkowska 17, PL-31016 Krakow, Poland.</t>
  </si>
  <si>
    <t>Wojtun, Bronislaw/0000-0003-1029-1078</t>
  </si>
  <si>
    <t>10.1007/s003000050233</t>
  </si>
  <si>
    <t>WOS:000072425800006</t>
  </si>
  <si>
    <t>North, AW</t>
  </si>
  <si>
    <t>Growth of young fish during winter and summer at South Georgia, Antarctica</t>
  </si>
  <si>
    <t>REPRODUCTION; METABOLISM; FJORD</t>
  </si>
  <si>
    <t>Fish &lt;1 year old were sampled during 1 year using nets inshore at South Georgia. Some fish were kept in aquaria. Growth rates were estimated using the exponential model. During June to October 1980, field growth rates of Parachaenichthys georgianus and Champsocephalus gunnari were 0.33 and 0.48% SL day(-1), respectively. Gobionotothen marionensis (1979 cohort) grew at 0.40% SL day(-1) during June to November in the field, and 0.34% SL day-(1) in the laboratory from September to March. Notothenia coriiceps grew at 0.28% SL day(-1) in the laboratory during September to March. During November to December, Artedidraco mirus grew at 0.82% SL day(-1) in the field. The 1980 cohort of G. marionensis grew at 1.39% SL day(-1) during November to January in the field. During January, the field growth rate of G. gibberifrons was 1.39% SL day(-1). Growth rates increased three-fold from winter to summer. Temperature call only explain one-half of this range in growth rates, whereas all of this range can be explained by food availability. Therefore, seasonal food resource limitation has a major effect on Antarctic fish growth.</t>
  </si>
  <si>
    <t>North, AW (corresponding author), British Antarctic Survey, NERC, High Cross,Madingley Rd, Cambridge CB3 0ET, England.</t>
  </si>
  <si>
    <t>10.1007/s003000050235</t>
  </si>
  <si>
    <t>WOS:000072425800008</t>
  </si>
  <si>
    <t>Aghajari, N; Feller, G; Gerday, C; Haser, R</t>
  </si>
  <si>
    <t>Crystal structures of the psychrophilic α-amylase from Alteromonas haloplanctis in its native form and complexed with an inhibitor</t>
  </si>
  <si>
    <t>PROTEIN SCIENCE</t>
  </si>
  <si>
    <t>allosteric activation; cold adaptation; crystal structure; glycosyl hydrolases; inhibition; psychrophilic</t>
  </si>
  <si>
    <t>X-RAY-DIFFRACTION; MOLECULAR-MODEL REFINEMENT; ANGSTROM RESOLUTION; ACTIVE-SITE; ENZYMES; ASPERGILLUS; CALCIUM; BINDING; REPLACEMENT; PARAMETERS</t>
  </si>
  <si>
    <t>Alteromonas haloplanctis is a bacterium that flourishes in Antarctic sea-water and it is considered as an extreme psychrophile. We have determined the crystal structures of the alpha-amylase (AHA) secreted by this bacterium, in its native state to 2.0 Angstrom resolution as well as in complex with Tris to 1.85 Angstrom resolution. The structure of AHA, which is the first experimentally determined three-dimensional structure of a psychrophilic enzyme, resembles those of other known alpha-amylases of various origins with a surprisingly greatest similarity to mammalian alpha-amylases. AHA contains a chloride ion which activates the hydrolytic cleavage of substrate alpha-1,4-glycosidic bonds. The chloride binding site is situated similar to 5 Angstrom from the active site which is characterized by a triad of acid residues (Asp 174, Glu 200, Asp 264). These are all involved in firm binding of the Tris moiety. A reaction mechanism for substrate hydrolysis is proposed on the basis of the Tris inhibitor binding and the chloride activation. A trio of residues (Ser 303, His 337, Glu 19) having a striking spatial resemblance with serine-protease like catalytic triads was found similar to 22 Angstrom from the active site. We found that this triad is equally present in other chloride dependent alpha-amylases, and suggest that it could be responsible for autoproteolytic events observed in solution for this cold adapted alpha-amylase.</t>
  </si>
  <si>
    <t>CNRS, IFRI, Inst Biol Struct &amp; Microbiol, Lab Architecture &amp; Fonct Macromol Biol,UPR 9039, F-13402 Marseille 20, France; Univ Liege, Inst Chim B6, Biochim Lab, B-4000 Liege, Belgium</t>
  </si>
  <si>
    <t>Aix-Marseille Universite; Centre National de la Recherche Scientifique (CNRS); University of Liege</t>
  </si>
  <si>
    <t>Haser, R (corresponding author), Inst Biol &amp; Chim Prot, CNRS, UPR 412, 7 Passage Vercors, F-69367 Lyon 07, France.</t>
  </si>
  <si>
    <t>Aghajari, Nushin/P-1906-2016</t>
  </si>
  <si>
    <t>Aghajari, Nushin/0000-0002-2245-2679</t>
  </si>
  <si>
    <t>40 WEST 20TH STREET, NEW YORK, NY 10011-4211 USA</t>
  </si>
  <si>
    <t>0961-8368</t>
  </si>
  <si>
    <t>PROTEIN SCI</t>
  </si>
  <si>
    <t>Protein Sci.</t>
  </si>
  <si>
    <t>10.1002/pro.5560070304</t>
  </si>
  <si>
    <t>Biochemistry &amp; Molecular Biology</t>
  </si>
  <si>
    <t>ZC005</t>
  </si>
  <si>
    <t>Green Published</t>
  </si>
  <si>
    <t>WOS:000072530000004</t>
  </si>
  <si>
    <t>Boccas, M; Ashley, MCB; Phillips, A; Schinckel, A; Storey, JWV</t>
  </si>
  <si>
    <t>Antarctic fiber optic spectrometer</t>
  </si>
  <si>
    <t>PUBLICATIONS OF THE ASTRONOMICAL SOCIETY OF THE PACIFIC</t>
  </si>
  <si>
    <t>TELESCOPE</t>
  </si>
  <si>
    <t>The Antarctic Fiber Optic Spectrometer (AFOS) is one of a suite of instruments of the Automated Astrophysical Site Testing Observatory (AASTO) installed at the South Pole in 1996 December. In 1998, the AFOS will be attached to an altitude-azimuth mount and commence regular astronomical observations. In the years 1998-2000, the AASTO will be moved to other remote locations, high on the Antarctic plateau, in order to complete the site testing campaign. The AFOS experiment consists of a 30 cm Newtonian telescope injecting light into a 45 m length of optical fibers that feed a UV-visible (200-840 nm) grating spectrograph inside the warm shelter. Tn this paper we describe the instrument and the first results. The main requirement of the design was reliable operation In an extremely cold environment, without maintenance, for 12 months. This has been achieved despite the very low power (approximately 7 W) available to run the instrument.</t>
  </si>
  <si>
    <t>Univ New S Wales, Sch Phys, Joint Australian Ctr Astrophys Res Antarctica, Sydney, NSW 2052, Australia</t>
  </si>
  <si>
    <t>University of New South Wales Sydney</t>
  </si>
  <si>
    <t>Boccas, M (corresponding author), Univ New S Wales, Sch Phys, Joint Australian Ctr Astrophys Res Antarctica, Sydney, NSW 2052, Australia.</t>
  </si>
  <si>
    <t>Ashley, Michael/0000-0003-1412-2028</t>
  </si>
  <si>
    <t>ASTRONOMICAL SOC PACIFIC</t>
  </si>
  <si>
    <t>SAN FRANCISCO</t>
  </si>
  <si>
    <t>390 ASHTON AVE, SAN FRANCISCO, CA 94112 USA</t>
  </si>
  <si>
    <t>0004-6280</t>
  </si>
  <si>
    <t>PUBL ASTRON SOC PAC</t>
  </si>
  <si>
    <t>Publ. Astron. Soc. Pac.</t>
  </si>
  <si>
    <t>10.1086/316136</t>
  </si>
  <si>
    <t>Astronomy &amp; Astrophysics</t>
  </si>
  <si>
    <t>ZF860</t>
  </si>
  <si>
    <t>WOS:000072940500009</t>
  </si>
  <si>
    <t>Froneman, PW; Pakhomov, EA; Meaton, V</t>
  </si>
  <si>
    <t>Surface distribution of microphytoplankton of the south-west Indian Ocean along a repeat transect between Cape Town and the Prince Edward Islands</t>
  </si>
  <si>
    <t>SOUTH AFRICAN JOURNAL OF SCIENCE</t>
  </si>
  <si>
    <t>ATLANTIC SECTOR; PHYTOPLANKTON PRODUCTION; FRONTAL ZONES; BIOMASS; ASSEMBLAGES; ARCHIPELAGO; SUMMER; WINTER</t>
  </si>
  <si>
    <t>Surface chlorophyll-a (chl-a) concentrations, microphytoplankton (&gt;20 mu m) species composition and distribution along a repeat transect between Cape Town and the Prince Edward Islands were investigated in early austral autumn (April/May) 1996. Samples were collected at approximately 30 nautical mile intervals for the analysis of size-fractionated chi-a and the identification and enumeration of microphytoplankton species. Peaks in total chi-a (&gt;1 mu g l(-1)) were recorded at the Subtropical Convergence (STC), at the Sub-Antarctic Front (SAF) and in the waters surrounding the Prince Edward Islands. In addition, a minor peak in chi-a concentration was recorded in the continental shelf waters. At stations where elevated chi-a concentrations were recorded, microphytoplankton generally formed a substantial contribution (similar to 10%) to total chlorophyll. Outside these regions, total chlorophyll concentrations were lower (&lt;0.9 mu g l(-1)) and almost entirely dominated by nano-and picophytoplankton, which contributed &gt;95% of the total. Microphytoplankton species composition along both transects were dominated by chain-forming species of the genera Chaetoceros (mainly C. neglectum, C. peruvianus and C. constrictus), Nitzschia spp. and Pseudoeunotia doliolus. Cluster and ordination analysis based on species composition identified five distinct microphytoplankton assemblages, which were closely associated with the different water masses in the region between Cape Town and the Prince Edward Islands. The microphytoplankton species composition and biogeographic zones identified during this investigation are in general agreement with similar studies conducted in the south-west Indian Ocean during the austral summer; which suggests that there are little seasonal trends in both the microphytoplankton species composition and biogeographic zonation.</t>
  </si>
  <si>
    <t>Rhodes Univ, Dept Zool &amp; Entomol, So Ocean Grp, POB 94, ZA-6140 Grahamstown, South Africa.</t>
  </si>
  <si>
    <t>zopf@warthog.ru.ac.za</t>
  </si>
  <si>
    <t>Froneman, William/C-9085-2012; Froneman, William/GLS-0460-2022</t>
  </si>
  <si>
    <t>Froneman, William/0000-0003-0615-1355</t>
  </si>
  <si>
    <t>ACAD SCIENCE SOUTH AFRICA A S S AF</t>
  </si>
  <si>
    <t>LYNWOOD RIDGE</t>
  </si>
  <si>
    <t>PO BOX 72135, LYNWOOD RIDGE 0040, SOUTH AFRICA</t>
  </si>
  <si>
    <t>0038-2353</t>
  </si>
  <si>
    <t>1996-7489</t>
  </si>
  <si>
    <t>S AFR J SCI</t>
  </si>
  <si>
    <t>S. Afr. J. Sci.</t>
  </si>
  <si>
    <t>ZQ453</t>
  </si>
  <si>
    <t>WOS:000073863600007</t>
  </si>
  <si>
    <t>Walden, VP; Warren, SG; Murcray, FJ</t>
  </si>
  <si>
    <t>Measurements of the downward longwave radiation spectrum over the Antarctic Plateau and comparisons with a line-by-line radiative transfer model for clear skies</t>
  </si>
  <si>
    <t>JOURNAL OF GEOPHYSICAL RESEARCH-ATMOSPHERES</t>
  </si>
  <si>
    <t>HALOGEN OCCULTATION EXPERIMENT; KATABATIC WIND ZONE; CLIMATE MODELS; SOUTH-POLE; ATMOSPHERIC FLUXES; COOLING RATES; NCAR CCM2; CODES; SURFACE; SPECTROMETER</t>
  </si>
  <si>
    <t>A I-year field program was conducted at South Pole Station in 1992 to measure the downward infrared radiance spectrum at a resolution of 1 cm(-1) over the spectral range 550-1667 cm(-1). The atmosphere over the Antarctic Plateau is the coldest and dries? on Earth, where in winter, surface temperatures average about -60 degrees C, the total column water vapor is as low as 300 mu m of precipitable water, and the clear-sky downward longwave flux is usually less than 80 W m(-2). Three clear-sky test cases are selected, one each for summer, winter, and spring, for which high-quality radiance data are available as well as ancillary data to construct model atmospheres from radiosondes, ozonesondes, and other measurements. The model atmospheres are used in conjunction with the line-by-line radiative transfer model (LBLRTM) to compare model calculations with the spectral radiance measurements. The high-resolution calculations of LBLRTM (approximate to 0.001 cm(-1)) are matched to the lower-resolution measurements (1 cm(-1)) by adjusting their spectral resolution and by applying a correction for the finite field of view of the interferometer. In summer the uncertainties in temperature and water vapor profiles dominate the radiance error in the LBLRTM calculations. In winter the uncertainty in viewing zenith angle becomes important as well as the choice of atmospheric levels in the strong near-surface temperature inversion. The spectral radiance calculated for each of the three test cases generally agrees with that measured, to within twice the total estimated radiance error, thus validating LBLRTM to this level of accuracy for Antarctic conditions. However, the discrepancy exceeds twice the estimated error in the gaps between spectral lines in the region 1250-1500 cm(-1), where emission is dominated by the foreign-broadened water vapor continuum.</t>
  </si>
  <si>
    <t>Univ Wisconsin, Ctr Space Sci &amp; Engn, Madison, WI 53706 USA; Univ Washington, Dept Atmospher Sci, Seattle, WA 98195 USA; Univ Denver, Dept Phys, Denver, CO 80210 USA</t>
  </si>
  <si>
    <t>University of Wisconsin System; University of Wisconsin Madison; University of Washington; University of Washington Seattle; University of Denver</t>
  </si>
  <si>
    <t>Walden, VP (corresponding author), Univ Wisconsin, Ctr Space Sci &amp; Engn, 1225 W Dayton St, Madison, WI 53706 USA.</t>
  </si>
  <si>
    <t>von.walden@ssec.wisc.edu; sgw@atmos.washington.edu; murcray@ram.phys.du.edu</t>
  </si>
  <si>
    <t>2169-897X</t>
  </si>
  <si>
    <t>J GEOPHYS RES-ATMOS</t>
  </si>
  <si>
    <t>J. Geophys. Res.-Atmos.</t>
  </si>
  <si>
    <t>FEB 27</t>
  </si>
  <si>
    <t>D4</t>
  </si>
  <si>
    <t>10.1029/97JD02433</t>
  </si>
  <si>
    <t>YZ481</t>
  </si>
  <si>
    <t>WOS:000072258400008</t>
  </si>
  <si>
    <t>Baumgartner, S; Beer, J; Masarik, J; Wagner, G; Meynadier, L; Synal, HA</t>
  </si>
  <si>
    <t>Geomagnetic modulation of the 36Cl flux in the GRIP ice core, Greenland</t>
  </si>
  <si>
    <t>ENHANCED BE-10 DEPOSITION; INTENSITY VARIATION; FIELD INTENSITY; ANTARCTIC ICE; SEDIMENTS; RECORDS; CLIMATE; SEA; PALEOINTENSITY</t>
  </si>
  <si>
    <t>Geomagnetic field strength is expected to affect the production rate of cosmogenic isotopes such as beryllium-10, carbon-14, or chlorine-36. Chlorine-36 data from the Greenland Ice Gore Project (GRIP) ice core agree well with a production rate calculation based on a paleomagnetic reconstruction for the past 100,000 years over both lane-and short-term variations, A chlorine-36 peak at 38,000 years ago previously found in the beryllium-10 record from the Vostok ice core can be explained by a period of law geomagnetic field intensity.</t>
  </si>
  <si>
    <t>Swiss Fed Inst Sci &amp; Technol, CH-8600 Dubendorf, Switzerland; Inst Phys Globe, CNRS, Lab Geochim &amp; Cosmochim 1758, F-75252 Paris 5, France; ETH Honggerberg, Paul Scherrer Inst, CH-8093 Zurich, Switzerland</t>
  </si>
  <si>
    <t>Centre National de la Recherche Scientifique (CNRS); Universite Paris Cite; Swiss Federal Institutes of Technology Domain; ETH Zurich; Paul Scherrer Institute</t>
  </si>
  <si>
    <t>Beer, J (corresponding author), Swiss Fed Inst Sci &amp; Technol, CH-8600 Dubendorf, Switzerland.</t>
  </si>
  <si>
    <t>Synal, Hans-Arno/AAD-4556-2019; masarik, jozef/IRZ-6697-2023; Meynadier, Laure/A-6349-2011; Synal, Hans-Arno/JYQ-3205-2024; Masarik, Jozef/A-8008-2018</t>
  </si>
  <si>
    <t>Synal, Hans-Arno/0000-0001-5621-3089; Meynadier, Laure/0000-0003-3411-4551;</t>
  </si>
  <si>
    <t>10.1126/science.279.5355.1330</t>
  </si>
  <si>
    <t>YZ412</t>
  </si>
  <si>
    <t>WOS:000072251800043</t>
  </si>
  <si>
    <t>Berkman, PA; Ku, TL</t>
  </si>
  <si>
    <t>226Ra/Ba ratios for dating Holocene biogenic carbonates in the Southern Ocean:: preliminary evidence from Antarctic coastal mollusc shells</t>
  </si>
  <si>
    <t>CHEMICAL GEOLOGY</t>
  </si>
  <si>
    <t>IONIZATION MASS-SPECTROMETRY; RADIUM; RADIOCARBON; BEACHES</t>
  </si>
  <si>
    <t>Marine bivalve molluscs (Adamussium colbecki) were collected alive from the Antarctic coastal zone to determine whether the Ra-236/Ba ratios in their shells reflect those of ambient seawater and can be used for dating (t(1/2) Ra-226 = 1600 years) Holocene fossils from the Southern Ocean. Similarities between the radium, barium and calcium concentrations in acid-treated (0.039 dpm g(-1), 2.15 mu g g(-1), and 355 mg g(-1)) and mechanically treated (0.041 dpm g(-1), 2.07 mu g g(-1) and 361 mg g(-1)) shells indicate that these divalent cations were lattice-bound and not adsorbed between the unit cells of the Adamussium calcite. In addition, Ra-226/Ba ratios in Southern Ocean seawater (0.0168 dpm mu g(-1)) were conserved in Adamussium shells (0.0181 to 0.0198 dpm mu g(-1)) despite the discrimination factors [DFCaelement = (element/Ca)(sample)/(element/Ca)(seawater)] of 0.244 to 0.252 for Ra and 0.214 to 0.226 for Ba. Together, these preliminary data suggest that it should be viable to develop a Ra-226/Ba chronometer which complements and is independent of C-14/C-12 for dating calcareous fossils from the Antarctic marine ecosystem up to several thousand years old. (C) 1998 Elseevier Science B.V.</t>
  </si>
  <si>
    <t>Ohio State Univ, Byrd Polar Res Ctr, Columbus, OH 43210 USA; Univ So Calif, Dept Earth Sci, Los Angeles, CA 90089 USA</t>
  </si>
  <si>
    <t>University System of Ohio; Ohio State University; University of Southern California</t>
  </si>
  <si>
    <t>Berkman, PA (corresponding author), Ohio State Univ, Byrd Polar Res Ctr, 108 Scott Hall,1090 Carmack Rd, Columbus, OH 43210 USA.</t>
  </si>
  <si>
    <t>ELSEVIER SCIENCE BV</t>
  </si>
  <si>
    <t>AMSTERDAM</t>
  </si>
  <si>
    <t>PO BOX 211, 1000 AE AMSTERDAM, NETHERLANDS</t>
  </si>
  <si>
    <t>0009-2541</t>
  </si>
  <si>
    <t>CHEM GEOL</t>
  </si>
  <si>
    <t>Chem. Geol.</t>
  </si>
  <si>
    <t>FEB 26</t>
  </si>
  <si>
    <t>10.1016/S0009-2541(97)00137-X</t>
  </si>
  <si>
    <t>ZK020</t>
  </si>
  <si>
    <t>WOS:000073276900012</t>
  </si>
  <si>
    <t>Geiger, FM; Hicks, JM; de Dios, AC</t>
  </si>
  <si>
    <t>Ab initio study of HOCl, HCl, H2O, and Cl2 interacting with four water molecules</t>
  </si>
  <si>
    <t>JOURNAL OF PHYSICAL CHEMISTRY A</t>
  </si>
  <si>
    <t>POLAR STRATOSPHERIC CLOUDS; AMORPHOUS ICE; HYDROGEN-CHLORIDE; ANTARCTIC OZONE; SURFACE; ADSORPTION; SPECTRA; CRYSTALLINE; DEPLETION; CHEMISTRY</t>
  </si>
  <si>
    <t>We present an ab initio study of the interaction of the stratospherically significant compounds HOCl, HCl, H2O, and Cl-2 with four water molecules representing an adsorption site on the surface of hexagonal ice. Using the 6-311++G(d,p) basis set and geometries optimized at the MP2 level of theory, the interaction energies of HOCl, HCl, H2O, and Cl-2 with the water tetramer were found to be -37, -26, -17, and -11 kJ/mol, respectively. Results indicate that when a small foreign molecule interacts with a water adsorption site in these systems, both adsorbed molecule and adsorption site maintain their original geometric and electronic structure. Optimized geometries of the test molecules at the prototypical ice adsorption site are reported.</t>
  </si>
  <si>
    <t>Georgetown Univ, Dept Chem, Washington, DC 20057 USA</t>
  </si>
  <si>
    <t>Georgetown University</t>
  </si>
  <si>
    <t>de Dios, AC (corresponding author), Georgetown Univ, Dept Chem, Washington, DC 20057 USA.</t>
  </si>
  <si>
    <t>de Dios, Angel C/H-4034-2011; Geiger, Franz M./C-6950-2013</t>
  </si>
  <si>
    <t>1089-5639</t>
  </si>
  <si>
    <t>J PHYS CHEM A</t>
  </si>
  <si>
    <t>J. Phys. Chem. A</t>
  </si>
  <si>
    <t>10.1021/jp972515r</t>
  </si>
  <si>
    <t>Chemistry, Physical; Physics, Atomic, Molecular &amp; Chemical</t>
  </si>
  <si>
    <t>Chemistry; Physics</t>
  </si>
  <si>
    <t>YZ897</t>
  </si>
  <si>
    <t>WOS:000072305400011</t>
  </si>
  <si>
    <t>Doake, CSM; Corr, HFJ; Rott, H; Skvarca, P; Young, NW</t>
  </si>
  <si>
    <t>Breakup and conditions for stability of the northern Larsen Ice Shelf, Antarctica</t>
  </si>
  <si>
    <t>GLACIERS; SHEET</t>
  </si>
  <si>
    <t>The breakup of ice shelves has been widely regarded as an indicator of climate change(1), with observations around the Antarctic Peninsula having shown a pattern of gradual retreat, associated with regional atmospheric warming-and increased summer melt and fracturing processes(2-9). The rapid collapse of the northernmost section of the Larsen Ice Shelf (Larsen A), over a few days in January 1995, indicated that, after retreat beyond a critical limit, ice shelves may disintegrate rapidly. Here we use a finite-element numerical model that treats ice as a continuum without fracture(10) to examine the breakup history(2) between 1986 and 1997 of the two northern sections of Larsen Ice Shelf (Larsen A and Larsen B), from which we establish stability criteria for ice shelves. Analysis of various ice-shelf configurations reveals characteristic patterns in the strain rates near the ice front which we use to describe the stability of the ice shelf. On Larsen A, only the initial and final ice-front configurations show a stable pattern. Larsen B at present exhibits a stable pattern, hut if the ice front were to retreat by a further Few kilometres, it too is Likely to enter an irreversible retreat phase.</t>
  </si>
  <si>
    <t>British Antarctic Survey, Cambridge CB3 0ET, England; Univ Innsbruck, Inst Meteorol &amp; Geophys, A-6020 Innsbruck, Austria; Inst Antartico Argentino, RA-1010 Buenos Aires, DF, Argentina; Antartic CRC, Hobart, Tas 7001, Australia; Australian Antarctic Div, Hobart, Tas 7001, Australia</t>
  </si>
  <si>
    <t>UK Research &amp; Innovation (UKRI); Natural Environment Research Council (NERC); NERC British Antarctic Survey; University of Innsbruck; Instituto Antartico Argentino; Australian Antarctic Division</t>
  </si>
  <si>
    <t>British Antarctic Survey, Madingley Rd, Cambridge CB3 0ET, England.</t>
  </si>
  <si>
    <t>Corr, Hugh/C-5398-2011</t>
  </si>
  <si>
    <t>Young, Neal/0000-0001-9729-3273</t>
  </si>
  <si>
    <t>NATURE PUBLISHING GROUP</t>
  </si>
  <si>
    <t>MACMILLAN BUILDING, 4 CRINAN ST, LONDON N1 9XW, ENGLAND</t>
  </si>
  <si>
    <t>1476-4687</t>
  </si>
  <si>
    <t>FEB 19</t>
  </si>
  <si>
    <t>10.1038/35832</t>
  </si>
  <si>
    <t>YX884</t>
  </si>
  <si>
    <t>WOS:000072089500048</t>
  </si>
  <si>
    <t>Vermeij, GJ</t>
  </si>
  <si>
    <t>Generic revision of the neogastropod family Pseudolividae</t>
  </si>
  <si>
    <t>NAUTILUS</t>
  </si>
  <si>
    <t>Muricoidea; Pseudolividae</t>
  </si>
  <si>
    <t>GASTROPOD GENUS; PALEOCENE; MURICIDAE; JAPAN</t>
  </si>
  <si>
    <t>The neogastropod family Pseudolividae Cossmann, 1901, is a Late Cretaceous to Recent group of about one hundred species characterized by a spiral groove (pseudolivid groove) on the lower half of the last whorl, a labral tooth on the outer lip at the end of this groove, a posterior notch at the adapical end of the outer lip, spiral sculpture increasing in prominence toward the base, and an indeterminate, sharp-edged, planar outer lip. A genus-level revision based on shell characters supports previous anatomical studies in recognizing the Pseudolividae as a taxon distinct from other neogastropod families. I recognize fourteen genera in the Pseudolividae: Benthobia Dall, 1889 (Recent, low-latitude bathyal and abyssal oceans); Fulmentum Fischer, 1884 (Recent, West and South Africa); Fusopsis Ravn, 1939 (Paleocene, Denmark); Fusulculus Bouchet &amp; Vermeij, 1997 (Recent, New Caledonia); Hubachia Etayo Serna, 1979 (Paleocene, Colombia); Luizia Douville, 1933 (Early Miocene to Recent, West Africa); Macron H. &amp; A. Adams, 1853 (Early Miocene to Recent, warm-temperate North Pacific and Caribbean); Naudoliva Kilburn, 1989 (Recent, southeastern Africa); Pseudoliva Swainson, 1840 (Early Miocene to Recent, West Africa); Sulcobuccinum d'Orbigny, 1850 (Late Cretaceous (Campanian) to Early Oligocene, warm seas worldwide); Sulcoliva, new genus (type species: Pseudoliva monilis Olsson, 1928; Eocene, Peru); Testallium Vermeij &amp; DeVries, 1997 (Early Miocene to Late Pliocene, western South America); Triumphis Gray, 1857 (Early Miocene?, Recent, tropical eastern Pacific); and Zemira H. &amp; A. Adams, 1853 (Late Eocene to Recent, Australia). I designate Buccinum fissuratum Deshayes, 1835, the type species of Sulcobuccinum, of which the following taxa are subjective junior synonyms: Buccinorbis Conrad, 1865; Calorebama Squires, 1989; Pegocomptus Zinsmeister, 1983; and Popenoeum Squires, Zinsmeister &amp; Paredes-Mejia, 1989. The genus Sylvanocochlis Melvill, 1903, is a junior subjective synonym of Fulmentum. Pseudoliva guppyi Mansfield, 1925, from the Late Miocene of Trinidad, is assigned to Fusulculus With great hesitation. I propose Sulcobuccinum multinodulosum as a replacement name for Pseudoliva chavani Glibert, 1973, non Tessier, 1952. Macron meleani is a new species described from the Recent fauna of the Gulf of California. Genera removed from Pseudolividae include Austrosphaera Camacho in Furque &amp; Camacho, 1949 (Late Cretaceous to Paleocene, Argentina); Seymourosphaera Oleinik &amp; Zinsmeister, 1996 (Early Paleocene, Seymour Island, Antarctic Peninsula); and the Late Cretaceous genera Fulgerca Stephenson, 1941, Hydrotribulus Wade, 1916, and Ptychosyca Gabb, 1877, all from the Gulf Coastal Plain of the United States. These taxa are not reassigned to other families, but belong to basal buccinoids. Nicema Woodring, 1964, which has sometimes been considered a subgenus of Triumphis, is a Late Miocene to Recent tropical American genus here assigned to the buccinid subfamily Photinae. The Pliocene to Recent South African genus Melapium H. &amp; A. Adams, 1853, may belong to the largely Paleogene family Strepturidae.</t>
  </si>
  <si>
    <t>Univ Calif Davis, Dept Geol, Davis, CA 95616 USA</t>
  </si>
  <si>
    <t>University of California System; University of California Davis</t>
  </si>
  <si>
    <t>Vermeij, GJ (corresponding author), Univ Calif Davis, Dept Geol, Davis, CA 95616 USA.</t>
  </si>
  <si>
    <t>BAILEY-MATTHEWS SHELL MUSEUM</t>
  </si>
  <si>
    <t>SANIBEL</t>
  </si>
  <si>
    <t>C/O DR JOSE H LEAL, ASSOCIATE/MANAGING EDITOR, 3075 SANIBEL-CAPTIVA RD, SANIBEL, FL 33957 USA</t>
  </si>
  <si>
    <t>0028-1344</t>
  </si>
  <si>
    <t>Nautilus</t>
  </si>
  <si>
    <t>FEB 17</t>
  </si>
  <si>
    <t>Marine &amp; Freshwater Biology; Zoology</t>
  </si>
  <si>
    <t>108EK</t>
  </si>
  <si>
    <t>WOS:000075252900002</t>
  </si>
  <si>
    <t>Vayda, ME; Londraville, RL; Cashon, RE; Costello, L; Sidell, BD</t>
  </si>
  <si>
    <t>Two distinct types of fatty acid-binding protein are expressed in heart ventricle of Antarctic teleost fishes</t>
  </si>
  <si>
    <t>BIOCHEMICAL JOURNAL</t>
  </si>
  <si>
    <t>ICEFISH CHAENOCEPHALUS-ACERATUS; FLUORESCENT-PROBE ADIFAB; ARACHIDONIC-ACID; AEROBIC MUSCLE; PHOSPHOLIPID-MEMBRANES; POTASSIUM CHANNELS; RAT-HEART; ADIPOCYTE; LIVER; TISSUES</t>
  </si>
  <si>
    <t>This report provides the first evidence for the existence of two distinct types of fatty acid-binding protein (FABP) in cardiac tissue of vertebrates. Four species of Antarctic teleost fish (Chaenocephalus aceratus, Cryodraco antarcticus, Gobionotothen gibberifrons and Notothenia coruceps) exhibited two FABP mRNAs of 1.0 kb and 0.8 kb, which we have termed H-h-FABP and H-ad-FABP (isolated from Heart tissue, with similarity to mammalian heart-type FABP or mammalian adipose-type FABP respectively). These FABP types appear to be products of distinct genes: Both FABP transcripts were abundant in cardiac and aerobic pectoral muscle. However, relative abundance of the two types varied distinctly among other tissues such as kidney, brain, spleen and white muscle. Neither FABP type was expressed in liver or intestine. The coding regions of H-h-FABP and H-ad-FABP cDNAs from the same species are only similar to 60 % identical with one another. However, homologues of each FABP species, which exhibit &gt; 98 % identity to their respective types, were isolated from three other Antarctic teleosts. Phylogenetic analysis of aligned amino-acid sequences places H-h-FABP with other vertebrate heart-type FABPs, and H-ad with adipose/cutaneous FABPs. Expression of two distinct FABPs in cardiac tissue of Antarctic teleosts may be related to their ability to both utilize fatty acid as the primary metabolic fuel and to store lipid intracellularly.</t>
  </si>
  <si>
    <t>Univ Maine, Sch Marine Sci, Orono, ME 04469 USA; Univ Maine, Dept Biochem Microbiol &amp; Mol Biol, Orono, ME 04469 USA; Univ Akron, Dept Biol, Akron, OH 44325 USA</t>
  </si>
  <si>
    <t>University of Maine System; University of Maine Orono; University of Maine System; University of Maine Orono; University System of Ohio; University of Akron</t>
  </si>
  <si>
    <t>Sidell, BD (corresponding author), Univ Maine, Sch Marine Sci, Orono, ME 04469 USA.</t>
  </si>
  <si>
    <t>Londraville, Richard/0000-0002-9438-7976</t>
  </si>
  <si>
    <t>PORTLAND PRESS</t>
  </si>
  <si>
    <t>59 PORTLAND PLACE, LONDON, ENGLAND W1N 3AJ</t>
  </si>
  <si>
    <t>0264-6021</t>
  </si>
  <si>
    <t>BIOCHEM J</t>
  </si>
  <si>
    <t>Biochem. J.</t>
  </si>
  <si>
    <t>FEB 15</t>
  </si>
  <si>
    <t>ZB154</t>
  </si>
  <si>
    <t>WOS:000072441800053</t>
  </si>
  <si>
    <t>Podgorny, I; Lubin, D</t>
  </si>
  <si>
    <t>Biologically active insolation over Antarctic waters: Effect of a highly reflecting coastline</t>
  </si>
  <si>
    <t>SURFACE ALBEDO; RADIATION; CLOUD; OZONE</t>
  </si>
  <si>
    <t>Near an Antarctic coastline or sea ice edge, multiple reflection of photons between the high-albedo surface and a cloud will increase the downwelling surface insolation not only over the high-albedo surface itself but also out over the adjacent open water. This insolation enhancement is examined with a Monte Carlo radiative transfer model. The insolation enhancement extends to a typical distance of 4 km out to sea, with the most important effects being within 2 km of the coastline. The strength of the multiple reflection effect depends primarily on cloud base height and cloud optical depth and only slightly on cloud geometrical thickness. The insolation enhancement is also a function of wavelength, being larger for ultraviolet wavelengths than for the visible. This is due to a slightly greater contribution from Rayleigh scattering at the shorter wavelengths, although at ultraviolet wavelengths where ozone absorption is strong, tropospheric ozone absorption can offset the Rayleigh scattering contribution at larger cloud optical depths. On the basis of the limited range of the multiple reflection effect (2-4 km out to sea) the insolation enhancement due to the high-albedo coastline is unlikely to be a major influence on the primary productivity of all Antarctic waters; however, it may influence phytoplankton blooms near the coast and photobiological experiments carried out at coastal research stations. Also, the insolation enhancement may have significance in sea ice leads and polynyas.</t>
  </si>
  <si>
    <t>Univ Calif San Diego, Scripps Inst Oceanog, Ctr Atmospher Sci, La Jolla, CA 92093 USA</t>
  </si>
  <si>
    <t>University of California System; University of California San Diego; Scripps Institution of Oceanography</t>
  </si>
  <si>
    <t>Podgorny, I (corresponding author), Univ Calif San Diego, Scripps Inst Oceanog, Ctr Atmospher Sci, 9500 Gilman Dr, La Jolla, CA 92093 USA.</t>
  </si>
  <si>
    <t>dlubin@ucsd.edu</t>
  </si>
  <si>
    <t>Podgorny, Igor/AAK-1040-2021</t>
  </si>
  <si>
    <t>C2</t>
  </si>
  <si>
    <t>10.1029/97JC02763</t>
  </si>
  <si>
    <t>YY122</t>
  </si>
  <si>
    <t>WOS:000072115500010</t>
  </si>
  <si>
    <t>Hughes, CW; Jones, MS; Carnochan, S</t>
  </si>
  <si>
    <t>Use of transient features to identify eastward currents in the Southern Ocean</t>
  </si>
  <si>
    <t>ANTARCTIC CIRCUMPOLAR CURRENT; TRACK SCANNING RADIOMETER; BETA-PLANE CHANNEL; ROSSBY WAVES; CLOUD CONTAMINATION; STRATIFIED OCEAN; TASMAN FRONT; WIND-DRIVEN; SPIN-UP; MODEL</t>
  </si>
  <si>
    <t>Sea surface temperatures and sea surface slopes, measured by the ERS-1 satellite, are used to investigate the propagation of mesoscale features in the Southern Ocean. The Antarctic Circumpolar Current (ACC) is clearly identifiable as a region of eastward propagation surrounded by mostly westward propagation. This confirms predictions based on results from the Fine Resolution Antarctic Model, which suggest that the ACC is a region of flow which is supercritical with respect to the propagation of baroclinic Rossby waves. This supercriticality allows the ACC to penetrate deep enough to interact with bottom topography and so may be an important part of the mechanism by which the current achieves a balance of angular momentum. The propagation directions derived from the two independent data sources agree in remarkable detail, and many dynamical features can be identified, including the South Atlantic Current and the Tasman Front. The wavelengths calculated using the two data sets are quite sensitive to details of the processing. While this means they can be said to be not inconsistent, the relationship between temperature gradients and slopes demands further investigation. The results on direction of propagation, however, are robust.</t>
  </si>
  <si>
    <t>Bidston Observ, Proudman Oceanog Lab, Birkenhead L43 7RA, Merseyside, England; Southampton Oceanog Ctr, James Rennell Div, Southampton SO14 3ZH, Hants, England; Aston Univ, Dept Civil Engn, Birmingham B4 7ET, W Midlands, England</t>
  </si>
  <si>
    <t>NERC National Oceanography Centre; University of Southampton; NERC National Oceanography Centre; Aston University</t>
  </si>
  <si>
    <t>Bidston Observ, Proudman Oceanog Lab, Birkenhead L43 7RA, Merseyside, England.</t>
  </si>
  <si>
    <t>C.Hughes@pol.ac.uk; msj@mail.soc.soton.ac.uk; carnochs@sun.aston.ac.uk</t>
  </si>
  <si>
    <t>Hughes, Chris/GQP-7479-2022; Hughes, Chris W/A-3791-2010</t>
  </si>
  <si>
    <t>Hughes, Chris W/0000-0002-9355-0233</t>
  </si>
  <si>
    <t>10.1029/97JC02442</t>
  </si>
  <si>
    <t>WOS:000072115500011</t>
  </si>
  <si>
    <t>Sinkler, RP</t>
  </si>
  <si>
    <t>Trapped by the Ice - Shackleton's amazing Antarctic adventure</t>
  </si>
  <si>
    <t>NEW YORK TIMES BOOK REVIEW</t>
  </si>
  <si>
    <t>Book Review</t>
  </si>
  <si>
    <t>NEW YORK TIMES</t>
  </si>
  <si>
    <t>620 8TH AVE, NEW YORK, NY 10018 USA</t>
  </si>
  <si>
    <t>0028-7806</t>
  </si>
  <si>
    <t>NY TIMES BK REV</t>
  </si>
  <si>
    <t>N. Y. Times Book Rev.</t>
  </si>
  <si>
    <t>Humanities, Multidisciplinary</t>
  </si>
  <si>
    <t>Arts &amp; Humanities Citation Index (A&amp;HCI)</t>
  </si>
  <si>
    <t>Arts &amp; Humanities - Other Topics</t>
  </si>
  <si>
    <t>YW121</t>
  </si>
  <si>
    <t>WOS:000071900000030</t>
  </si>
  <si>
    <t>Black whiteness - Admiral Byrd alone in the Antarctic</t>
  </si>
  <si>
    <t>WOS:000071900000031</t>
  </si>
  <si>
    <t>Donachie, SP; Zdanowski, MK</t>
  </si>
  <si>
    <t>Potential digestive function of bacteria in krill Euphausia superba stomach</t>
  </si>
  <si>
    <t>AQUATIC MICROBIAL ECOLOGY</t>
  </si>
  <si>
    <t>Antarctic krill; Euphausia superba; bacteria; digestive enzyme; yeast</t>
  </si>
  <si>
    <t>ANTARCTIC KRILL; SEA</t>
  </si>
  <si>
    <t>Evidence is presented that bacteria in the stomach of live Antarctic krill Euphausia superba participate in the digestion of host dietary components. Total (AODC: Acridine Orange Direct Count) and culturable (CFU: Colony Forming Units) bacteria in this organ in fresh adult krill were compared in numerical and physiological terms with those in contemporaneously collected seawater samples in Admiralty Bay, King George Island, South Shetland Islands. On a per unit volume basis, AODC and CFU numbers in the stomach were greater than in the seawater, and higher than could be accounted for through selective prey filtration alone. CFU in the stomach and seawater averaged similar to 4% and &lt;0.01% of the respective AODC, and in the stomach similar to 6% of AODC were dividing, compared to less than 1% in seawater, observations suggesting that bacterial growth occurs in the stomach. Biovolume of cells in the stomach exceeded that of cells in seawater (t(2854) = -6.262, P &lt; 0.001), but the former were too small to have been selectively filtered. Maltose and gluconate assimilation, and lipase (C-14), 'trypsin'-like, and acid phosphatase activities were significantly more prominent in culturable bacteria from the stomach than seawater, further indicating selection. Conversely, a-fucosidase production appears host derived. Yeasts isolated from the stomach were identified as Leucosporidium antarcticum and Metschnikowia australis.</t>
  </si>
  <si>
    <t>Polish Acad Sci, Dept Antarctic Biol, PL-02141 Warsaw, Poland</t>
  </si>
  <si>
    <t>Polish Academy of Sciences</t>
  </si>
  <si>
    <t>Donachie, SP (corresponding author), Univ Hawaii, SOEST, Dept Oceanog, Honolulu, HI 96822 USA.</t>
  </si>
  <si>
    <t>Donachie, Stuart P/O-6220-2016</t>
  </si>
  <si>
    <t>Donachie, Stuart/0000-0002-8322-6915</t>
  </si>
  <si>
    <t>INTER-RESEARCH</t>
  </si>
  <si>
    <t>OLDENDORF LUHE</t>
  </si>
  <si>
    <t>NORDBUNTE 23, D-21385 OLDENDORF LUHE, GERMANY</t>
  </si>
  <si>
    <t>0948-3055</t>
  </si>
  <si>
    <t>AQUAT MICROB ECOL</t>
  </si>
  <si>
    <t>Aquat. Microb. Ecol.</t>
  </si>
  <si>
    <t>FEB 13</t>
  </si>
  <si>
    <t>10.3354/ame014129</t>
  </si>
  <si>
    <t>Ecology; Marine &amp; Freshwater Biology; Microbiology</t>
  </si>
  <si>
    <t>Environmental Sciences &amp; Ecology; Marine &amp; Freshwater Biology; Microbiology</t>
  </si>
  <si>
    <t>YY356</t>
  </si>
  <si>
    <t>WOS:000072138900003</t>
  </si>
  <si>
    <t>Sjödahl, J; Emmer, Å; Karlstam, B; Vincent, J; Roeraade, J</t>
  </si>
  <si>
    <t>Separation of proteolytic enzymes originating from Antarctic krill (Euphausia superba) by capillary electrophoresis</t>
  </si>
  <si>
    <t>JOURNAL OF CHROMATOGRAPHY B</t>
  </si>
  <si>
    <t>Euphausia superba; Antarctic krill; proteins; proteolytic enzymes; fluorosurfactants</t>
  </si>
  <si>
    <t>SERINE PROTEINASES; PURIFICATION; DEBRIDEMENT</t>
  </si>
  <si>
    <t>Extracts prepared from Antarctic krill (Euphausia superba), mainly consisting of acidic proteolytic enzymes, have been studied with capillary electrophoretic techniques. Approximately 50 repeatable peaks were obtained with capillary zone electrophoresis on an untreated fused-silica capillary using a phosphate buffer containing anionic and cationic fluorosurfactant additives as separation medium. A faster separation was achieved on a polyvinyl alcohol coated capillary. Quantitative variations of individual proteins regarding different krill enzyme batches were noted. In the krill samples trypsin-like serine proteinase, carboxypeptidase A and carboxypeptidase B were tentatively identified. (C) 1998 Elsevier Science B.V.</t>
  </si>
  <si>
    <t>Royal Inst Technol, Dept Analyt Chem, S-10044 Stockholm, Sweden; Medisan Pharmaceut AB, S-74174 Uppsala, Sweden</t>
  </si>
  <si>
    <t>Royal Institute of Technology</t>
  </si>
  <si>
    <t>Roeraade, J (corresponding author), Royal Inst Technol, Dept Analyt Chem, S-10044 Stockholm, Sweden.</t>
  </si>
  <si>
    <t>Emmer, Åsa/A-3083-2015</t>
  </si>
  <si>
    <t>Sjodahl, Johan/0000-0003-4954-7157</t>
  </si>
  <si>
    <t>0378-4347</t>
  </si>
  <si>
    <t>J CHROMATOGR B</t>
  </si>
  <si>
    <t>J. Chromatogr. B</t>
  </si>
  <si>
    <t>10.1016/S0378-4347(97)00552-5</t>
  </si>
  <si>
    <t>Biochemical Research Methods; Chemistry, Analytical</t>
  </si>
  <si>
    <t>Biochemistry &amp; Molecular Biology; Chemistry</t>
  </si>
  <si>
    <t>YY734</t>
  </si>
  <si>
    <t>WOS:000072178500007</t>
  </si>
  <si>
    <t>Pankhurst, RJ; Weaver, SD; Bradshaw, JD; Storey, BC; Ireland, TR</t>
  </si>
  <si>
    <t>Geochronology and geochemistry of pre-Jurassic superterranes in Marie Byrd Land, Antarctica</t>
  </si>
  <si>
    <t>MEDIAN TECTONIC ZONE; EASTERN PALMER-LAND; WEST ANTARCTICA; NEW-ZEALAND; SOUTHEASTERN AUSTRALIA; UNITED-STATES; SOUTH-ISLAND; PENINSULA; MAGMATISM; BASEMENT</t>
  </si>
  <si>
    <t>Marie Byrd Land, Antarctica, is a major part of the proto-Pacific supercontinental margin. On the basis of new geochronological and geochemical data relating to its pre-Jurassic evolution, Marie Byrd Land is subdivided into western or interior (Ross) and eastern or exterior (Amundsen) provinces, equivalent to two superterranes in New Zealand. The Ross province is characterized by Cambrian? metagraywackes and I-type orthogneiss dated at 505 +/- 5 Ma by U-Pb SHRIMP (Sensitive High Resolution Ion Microprobe), Its magmatic record consists of Devonian-Carboniferous (375 +/- 5 Ma and circa 339 +/- 6 Ma), predominantly I-type granitoids, and further minor granitic magmatism in Permo-Triassic times. This Paleozoic history is comparable to that of the Gondwana margin in northern Victoria Land, western New Zealand, and SE Australia. The Amundsen province has no observed Paleozoic graywacke succession; evidence from Rb-Sr and U-Pb SHRIMP dating supports calc-alkaline granitoid events in Ordovician/Silurian (450-420 Ma) and Permian (276 +/- 2 Ma) times. The latter may be the previously unknown source of Permian volcanic detritus in the Ellsworth and Transantarctic mountains. The Amundsen province is considered to be the equivalent of the Median Tectonic Zone of New Zealand, and are magmatism of comparable ages is found in the Antarctic Peninsula and Thurston Island. The underlying lithosphere of the two provinces may be distinguished by Nd isotope data; granitoids and metasedimentary rocks of the Ross province have Meso-Proterozoic Nd model ages, generally 1300-1500 Ma, compared to 1000-1300 Ma for the Amundsen province. On the basis of published palaeomagnetic data, the two provinces amalgamated to form Marie Byrd Land in mid-Cretaceous times, only shortly before rifting of the New Zealand continental block away from Antarctica.</t>
  </si>
  <si>
    <t>British Antarctic Survey, Cambridge CB3 0ET, England; Univ Canterbury, Dept Geol Sci, Christchurch 1, New Zealand; Stanford Univ, Dept Geol &amp; Environm Sci, Stanford, CA 94305 USA; NERC, Isotope Geosci Lab, Kingsley Dunham Ctr, Nottingham NG12 5GG, England</t>
  </si>
  <si>
    <t>UK Research &amp; Innovation (UKRI); Natural Environment Research Council (NERC); NERC British Antarctic Survey; University of Canterbury; Stanford University; UK Research &amp; Innovation (UKRI); Natural Environment Research Council (NERC); NERC British Geological Survey</t>
  </si>
  <si>
    <t>Pankhurst, RJ (corresponding author), British Antarctic Survey, Cambridge CB3 0ET, England.</t>
  </si>
  <si>
    <t>r.pankhurst@bas.ac.uk; s.weaver@canterbury.ac.nz; j.bradshaw@canterbury.ac.nz; b.storey@bas.ac.uk; tri@pangea.stanford.edu</t>
  </si>
  <si>
    <t>Ireland, Trevor R/A-4993-2008; Ireland, Trevor R./GSJ-1884-2022</t>
  </si>
  <si>
    <t>Ireland, Trevor R/0000-0001-7617-3889;</t>
  </si>
  <si>
    <t>FEB 10</t>
  </si>
  <si>
    <t>B2</t>
  </si>
  <si>
    <t>10.1029/97JB02605</t>
  </si>
  <si>
    <t>YW382</t>
  </si>
  <si>
    <t>WOS:000071929600010</t>
  </si>
  <si>
    <t>Wasik, A</t>
  </si>
  <si>
    <t>Antarctic tintinnids: Their ecology, morphology, ultrastructure and polymorphism</t>
  </si>
  <si>
    <t>ACTA PROTOZOOLOGICA</t>
  </si>
  <si>
    <t>infraciliature; lorica; microarchitecture; polymorphism; seasonal succession; ultrastructure of protoplast</t>
  </si>
  <si>
    <t>ICE-EDGE ZONE; CYMATOCYLIS-CONVALLARIA TINTINNINA; SOUTHERN-CALIFORNIA BIGHT; FUNCTIONAL-ROLE; GROWTH-RATES; WEDDELL SEA; ABUNDANCE; CILIATE; CILIOPHORA; BAY</t>
  </si>
  <si>
    <t>Ciliates from the suborder Tintinnina are the cosmopolitan organisms living mainly in the upper parts of oceans and seas. In consideration of their morphology and role in food web they are an interesting material for researches. Besides the attributes typical for all Ciliata they have some internal and external features typical only for this group. I started my examination of Antarctic tintinnids from the analysis of species composition and seasonal succession in waters of Admiralty Bay and the Weddell Sea (Wasik and Mikolajczyk 1990, 1994a). Cymatocylis convallaria, with a short lorica horn dominated during the austral summer, while C. affinis with the long aboral part of the lorica dominated during the winter. In spring and fall the transition in loricae shape from one form to the other was observed, a finding which may indicate that some previously separate species are in fact only polymorphs of one species. To furnish evidence for this suggestion, protoplast morphology and ultrastructure were compared (Wasik and Mikolajczyk 1991, 1992) with special emphasis on the pattern of somatic and oral ciliature (Wasik and Mikolajczyk 1994); the results unequivocally showed that both C. affinis and C. convallaria are indeed polymorphic forms of one species. Tintinnids are known as ciliates with a protoplast protected by different forms of loricae. Depending on the species, the lorica might be hyaline and partially or totally agglutinated by mineral and/or biological particles. The possibility that tintinnids select particles during lorica formation is still being debated, but I tried to address this issue. The results indicated that particles are selected by them. The investigations were not limited only to an examination of the material agglutinating the loricae, but included analyses of the morphology and microarchitecture of the lorica wall (Wasik et al, 1996; 1997a,b). On the base of electron scanning and transmission microscopies it appeared that depending on species lorica surface morphology revealed differences, while wall microarchitecture is very much the same in a form of honeycomb.</t>
  </si>
  <si>
    <t>M Nencki Inst Expt Biol, Dept Cell Biol, PL-02093 Warsaw, Poland</t>
  </si>
  <si>
    <t>Polish Academy of Sciences; Nencki Institute of Experimental Biology of the Polish Academy of Sciences</t>
  </si>
  <si>
    <t>Wasik, A (corresponding author), M Nencki Inst Expt Biol, Dept Cell Biol, Ul Pasteura 3, PL-02093 Warsaw, Poland.</t>
  </si>
  <si>
    <t>ewam@nencki.gov.pl</t>
  </si>
  <si>
    <t>JAGIELLONIAN UNIV, INST ENVIRONMENTAL SCIENCES</t>
  </si>
  <si>
    <t>KRAKOW</t>
  </si>
  <si>
    <t>GRONOSTAJOWA 7, KRAKOW, 30-387, POLAND</t>
  </si>
  <si>
    <t>0065-1583</t>
  </si>
  <si>
    <t>1689-0027</t>
  </si>
  <si>
    <t>ACTA PROTOZOOL</t>
  </si>
  <si>
    <t>Acta Protozool.</t>
  </si>
  <si>
    <t>FEB</t>
  </si>
  <si>
    <t>Microbiology</t>
  </si>
  <si>
    <t>ZD707</t>
  </si>
  <si>
    <t>WOS:000072715000002</t>
  </si>
  <si>
    <t>Steil, B; Dameris, M; Bruhl, C; Crutzen, PJ; Grewe, V; Ponater, M; Sausen, R</t>
  </si>
  <si>
    <t>Development of a chemistry module for GCMs: first results of a multiannual integration</t>
  </si>
  <si>
    <t>ANNALES GEOPHYSICAE-ATMOSPHERES HYDROSPHERES AND SPACE SCIENCES</t>
  </si>
  <si>
    <t>atmospheric composition and structure; middle atmosphere; meteorology and atmospheric dynamics; climatology; general circulation</t>
  </si>
  <si>
    <t>GENERAL-CIRCULATION MODEL; POLAR STRATOSPHERIC CLOUDS; SULFURIC-ACID; WATER-VAPOR; NITRIC-ACID; OZONE; ATMOSPHERE; CLIMATE; CHLORINE; AEROSOLS</t>
  </si>
  <si>
    <t>The comprehensive chemistry module CHEM has been developed for application in general circulation models (GCMs) describing tropospheric and stratospheric chemistry, including photochemical reactions and heterogeneous reactions on sulphate aerosols and polar stratospheric clouds. It has been coupled to the spectral atmospheric GCM ECHAM3. The model configuration used in the current study has been run in an off-line mode, i.e. the calculated chemical species do not affect the radiative forcing of the dynamic fields. First results of a 15-year model integration indicate that the model ECHAM3/CHEM runs are numerically efficient and stable, i.e. that no model drift can be detected in dynamic and chemical parameters. The model reproduces the main features regarding ozone, in particular intra-and interannual variability. The ozone columns are somewhat higher than observed (approximately 10%), while the amplitude of the annual cycle is in agreement with observations. A comparison with HALOE data reveals, however, a serious model deficiency regarding lower-stratosphere dynamics at high latitudes. Contrary to what is concluded by observations, the lower stratosphere is characterized by slight upward motions in the polar regions, so that some of the mentioned good agreements must be considered as fortuitous. Nevertheless, ECHAM3/CHEM well describes the chemical processes leading to ozone reduction. It has been shown that the mean fraction of the northern hemisphere, which is covered by polar stratospheric clouds (PSCs) as well as the temporal appearance of PSCs in the model, is in fair agreement with observations. The model results show an activation of chlorine inside the polar vortex which is stronger in the southern than in the northern winter hemisphere, yielding an ozone hole over the Antarctic; this hole, however, is also caused to a substantial degree by the dynamics. Interhemispheric differences concerning reformation of chlorine reservoir species HCl and ClONO2 in spring have also been well reproduced by the model.</t>
  </si>
  <si>
    <t>DLR Inst Phys Atmosphare, D-82234 Wessling, Germany; Max Planck Inst Chem, Abt Luftchem, D-55020 Mainz, Germany</t>
  </si>
  <si>
    <t>Helmholtz Association; German Aerospace Centre (DLR); Max Planck Society</t>
  </si>
  <si>
    <t>Dameris, M (corresponding author), DLR Inst Phys Atmosphare, D-82234 Wessling, Germany.</t>
  </si>
  <si>
    <t>martin.dameris@dlr.de</t>
  </si>
  <si>
    <t>Grewe, Volker/A-6147-2011; Crutzen, Paul J/F-6044-2012; Grewe, Volker/JCE-0830-2023; Ponater, Michael/AAQ-4907-2020</t>
  </si>
  <si>
    <t>Grewe, Volker/0000-0002-8012-6783; Dameris, Martin/0000-0001-6700-0628; Ponater, Michael/0000-0002-9771-4733</t>
  </si>
  <si>
    <t>0992-7689</t>
  </si>
  <si>
    <t>ANN GEOPHYS-ATM HYDR</t>
  </si>
  <si>
    <t>Ann. Geophys.-Atmos. Hydrospheres Space Sci.</t>
  </si>
  <si>
    <t>10.1007/s00585-998-0205-8</t>
  </si>
  <si>
    <t>Astronomy &amp; Astrophysics; Geosciences, Multidisciplinary; Meteorology &amp; Atmospheric Sciences</t>
  </si>
  <si>
    <t>Astronomy &amp; Astrophysics; Geology; Meteorology &amp; Atmospheric Sciences</t>
  </si>
  <si>
    <t>ZB184</t>
  </si>
  <si>
    <t>Green Submitted, gold</t>
  </si>
  <si>
    <t>WOS:000072444800011</t>
  </si>
  <si>
    <t>Shand, BA; Milan, SE; Yeoman, TK; Chapman, PJ; Wright, DM; Jones, TB; Pedersen, LT</t>
  </si>
  <si>
    <t>CUTLASS HF radar observations of the Odden ice tongue</t>
  </si>
  <si>
    <t>Letter</t>
  </si>
  <si>
    <t>oceanography; Arctic and Antarctic oceanography; remote sensing and electromagnetic processes; radio oceanography</t>
  </si>
  <si>
    <t>LATITUDE</t>
  </si>
  <si>
    <t>This paper presents a comparison of the observation of sea ice in the Odden area of the Greenland sea, obtained through analysis of Special Sensor Microwave/Imager (SSM/I) data from the Defence Meteorological Satellite Program (DMSP), and ground backscatter data from the Iceland station of the Cooperative UK Twin Located Auroral Sounding System (CUTLASS). The observation of sea ice extent in the HF radar data, when compared with the satellite data may provide information concerning the development of this ice feature, which is an important element of the oceanic convection processes in the area. Examination of a few days of radar data from the latter part of 1996 clearly illustrates the evolution of the sea ice in a complementary observation technique to the satellite data. The radar scattering process responsible for the manifestation of the Odden ice tongue within the radar data can be described by the combination of the effect of the sea ice on the sea surface wave activity and the angle of elevation the incident radar wave vector makes to this surface.</t>
  </si>
  <si>
    <t>Univ Leicester, Dept Phys &amp; Astron, Leicester LE1 7RH, Leics, England; Tech Univ Denmark, Dept Electromagnet Syst, Danish Ctr Remote Sensing, DK-2800 Lyngby, Denmark</t>
  </si>
  <si>
    <t>University of Leicester; Technical University of Denmark</t>
  </si>
  <si>
    <t>Yeoman, TK (corresponding author), Univ Leicester, Dept Phys &amp; Astron, Univ Rd, Leicester LE1 7RH, Leics, England.</t>
  </si>
  <si>
    <t>Pedersen, Leif Toudal/ABA-9687-2020; Yeoman, Timothy k/L-9105-2014</t>
  </si>
  <si>
    <t>Pedersen, Leif Toudal/0000-0001-7913-6282; Yeoman, Timothy k/0000-0002-8434-4825</t>
  </si>
  <si>
    <t>WOS:000072444800017</t>
  </si>
  <si>
    <t>Choo, DW; Kurihara, T; Suzuki, T; Soda, K; Esaki, N</t>
  </si>
  <si>
    <t>A cold-adapted lipase of an Alaskan psychrotroph, Pseudomonas sp. strain B11-1:: Gene cloning and enzyme purification and characterization</t>
  </si>
  <si>
    <t>HORMONE-SENSITIVE LIPASE; CANDIDA-RUGOSA LIPASE; ESCHERICHIA-COLI; MORAXELLA TA144; BACTERIAL LIPASES; SEQUENCE; EXPRESSION; PSYCHROPHILE; ACTIVATION; ESTERS</t>
  </si>
  <si>
    <t>A psychrotrophic bacterium producing a cold-adapted lipase upon growth th at low temperatures was isolated from Alaskan soil and identified as a Pseudomonas strain, The lipase gene (lipP) was cloned from the strain and sequenced, The amino acid sequence deduced from the nucleotide sequence of the gene (924 bp) corresponded to a protein of 308 amino acid residues with a molecular weight of 33,714. LipP also has consensus motifs conserved in other cold-adapted lipases, i.e., Lipase 2 from Antarctic Moraxella TA144 (G. Feller, M. Thiry, J. L. Arpigny, and C. Gerday, DNA Cell Biol. 10:381-388, 1991) and the mammalian hormone-sensitive lipase (D. Langin, H. Laurell, L. S. Hoist, P. Belfrage, and C. Holm, Proc. Natl. Acad. Sci. USA 90:4897-4901, 1993): a pentapeptide, GDSAG, containing the putative active-site serine and an BG dipeptide, LipP was purified from an extract of recombinant Escherichia coli C600 cells harboring a plasmid coding for the lipP gene, The enzyme showed a 1,3-positional specificity toward triolein, p-Nitrophenyl esters of fatty acids with short to medium chains (C-4 and C-6) served as good substrates. The enzyme was stable between pH 6 and 9, and the optimal pH for the enzymatic hydrolysis of tributyrin was around 8, The activation energies for the hydrolysis of p-nitrophenyl butyrate and p-nitrophenyl laurate were determined to be 11.2 and 7.7 kcal/mol, respectively. in the temperature range 5 to 35 degrees C, The enzyme was unstable at temperatures higher than 45 degrees C. The K-m of the enzyme for p-nitrophenyl butyrate increased with increases in the assay temperature, The enzyme was strongly inhibited by Zn2+, Cu2+, Fe3+, and Hg2+ but was not affected by phenylmethylsulfonyl fluoride and bis-nitrophenyl phosphate, Various water-miscible organic solvents, such as methanol and dimethyl sulfoxide, at concentrations of 0 to 30% (vol/vol) activated the enzyme.</t>
  </si>
  <si>
    <t>Kyoto Univ, Inst Chem Res, Kyoto 611, Japan; Kansai Univ, Fac Engn, Osaka 564, Japan</t>
  </si>
  <si>
    <t>Kyoto University; Kansai University</t>
  </si>
  <si>
    <t>Kyoto Univ, Inst Chem Res, Kyoto 611, Japan.</t>
  </si>
  <si>
    <t>esaki@pclsp2.kuicr.kyoto-u.ac.jp</t>
  </si>
  <si>
    <t>Kurihara, Tatsuo/ACX-5827-2022</t>
  </si>
  <si>
    <t>YV746</t>
  </si>
  <si>
    <t>WOS:000071858600016</t>
  </si>
  <si>
    <t>Aislabie, J; McLeod, M; Fraser, R</t>
  </si>
  <si>
    <t>Potential for biodegradation of hydrocarbons in soil from the Ross Dependency, Antarctica</t>
  </si>
  <si>
    <t>APPLIED MICROBIOLOGY AND BIOTECHNOLOGY</t>
  </si>
  <si>
    <t>VESTFOLD HILLS; BIOREMEDIATION</t>
  </si>
  <si>
    <t>Oil spills occur in the Antarctic when fuel oils such as JP8 jet fuel are moved or stored. Hydrocarbons, both n-alkanes and aromatic compounds, have been detected in oil-contaminated soils of the Ross Dependency. In such areas hydrocarbon-degrading microbes, if naturally occurring, could be used for clean-up. Soil samples from oil-impacted and control sites were analysed for hydrocarbon-degrading microbes and for a range of parameters known to limit biodegradative activity. Soils were analysed for water content, pH, concentrations of nutrients (N and P) and electrical conductivity. Numbers of culturable heterotrophic bacteria and hydrocarbon degraders were greater in some of the oil-contaminated samples. Mineralisation studies with C-14-radiolabelled hexadecane and naphthalene demonstrated that nitrogen amendments significantly enhanced hydrocarbon mineralisation rates in an oil-impacted soil.</t>
  </si>
  <si>
    <t>Landcare Res, Hamilton, New Zealand</t>
  </si>
  <si>
    <t>Landcare Research - New Zealand</t>
  </si>
  <si>
    <t>Aislabie, J (corresponding author), Landcare Res, Private Bag 3127, Hamilton, New Zealand.</t>
  </si>
  <si>
    <t>0175-7598</t>
  </si>
  <si>
    <t>APPL MICROBIOL BIOT</t>
  </si>
  <si>
    <t>Appl. Microbiol. Biotechnol.</t>
  </si>
  <si>
    <t>10.1007/s002530051160</t>
  </si>
  <si>
    <t>Biotechnology &amp; Applied Microbiology</t>
  </si>
  <si>
    <t>ZB029</t>
  </si>
  <si>
    <t>WOS:000072427700013</t>
  </si>
  <si>
    <t>Gomez, I; Weykam, G; Wiencke, C</t>
  </si>
  <si>
    <t>Photosynthetic metabolism and major organic compounds in the marine brown alga Desmarestia menziesii from King George Island (Antarctica)</t>
  </si>
  <si>
    <t>AQUATIC BOTANY</t>
  </si>
  <si>
    <t>Antarctic macroalgae; Desmarestia menziesii; photosynthesis; storage carbohydrates</t>
  </si>
  <si>
    <t>ASCOSEIRA-MIRABILIS ASCOSEIRALES; LONG-TERM CULTURE; LAMINARIA-LONGICRURIS; SACCHARINA PHAEOPHYTA; MACROCYSTIS-PYRIFERA; SEASONAL-VARIATION; GROWTH; MACROALGAE; NITROGEN; PERFORMANCE</t>
  </si>
  <si>
    <t>Photosynthesis and organic composition in Desmarestia menziesii from a population at Potter Cove (King George Island) were measured during the Antarctic spring-summer. Light saturated net photosynthesis (P-max), and dark respiration showed a similar seasonal variation with maximum values in plants collected in November (250 and 200 mu mol O-2 g(-1) DW h(-1), respectively) and minimal values in January (42 and 16 mu mol O-2 g(-1) DW h(-1), respectively), Similarly, a peak of photosynthetic efficiency (alpha) in November [(7.5 mu mol O-2 g(-1) DW h(-1) (mu mol photons m(-2) s(-1))(-1)] was coupled with a peak of Chl a (6.7 mg g(-1) DW). Saturation points (I-k) for photosynthesis were high in January (100 mu mol photon m(-2) s(-1)) and low in December (25 mu mol photon m(-2) s(-1)), whereas compensation points (I-C) gradually decreased from 45 mu mol photon m(-2) s(-1) in October to values close to 10 mu mol photon m(-2) s(-1) in summer (December to February). Carbon (C) and nitrogen (N) as well as C:N ratios did not vary significantly along the study period with means close to 35% C, 3.8% N of dry weight and 9.3 (C:N ratio), respectively, which clearly indicates no nutrient limitation for algal metabolism. In contrast, major organic compounds showed marked seasonal changes. High protein contents close to 22% of DW were determined in September and October, decreasing towards summer to values of 12% of DW, whereas total amino acids (free and protein-bound) had a peak in November (18% of DW) and remained low between December and February (below 12% of DW). Mannitol content was relatively low between September and December increasing to values close to 8% of DW in February. Laminaran was high in September (7.2% of DW) and remained low and relatively constant (ca. 2.5% of DW) from October onwards. The significant effect of amino acids, mannitol, laminaran, protein contents inferred from regression analyse point up to a relationship between monthly allocation of organic compounds and high metabolic activities during spring-summer, i.e., reserve carbohydrates may compensate, at least partially, for C losses due to the high respiratory activity. (C) 1998 Elsevier Science B.V.</t>
  </si>
  <si>
    <t>Alfred Wegener Inst Polar &amp; Meeresforsch, D-27515 Bremerhaven, Germany</t>
  </si>
  <si>
    <t>Helmholtz Association; Alfred Wegener Institute, Helmholtz Centre for Polar &amp; Marine Research</t>
  </si>
  <si>
    <t>Gomez, I (corresponding author), Univ Malaga, Fac Ciencias, Dept Ecol, Campus Univ Teatinos S-N, E-29071 Malaga, Spain.</t>
  </si>
  <si>
    <t>Gomez, Ivan/0000-0001-8381-3792</t>
  </si>
  <si>
    <t>0304-3770</t>
  </si>
  <si>
    <t>AQUAT BOT</t>
  </si>
  <si>
    <t>Aquat. Bot.</t>
  </si>
  <si>
    <t>10.1016/S0304-3770(97)00097-1</t>
  </si>
  <si>
    <t>Plant Sciences; Marine &amp; Freshwater Biology</t>
  </si>
  <si>
    <t>ZG846</t>
  </si>
  <si>
    <t>WOS:000073045900001</t>
  </si>
  <si>
    <t>Regoli, F; Nigro, M; Orlando, E</t>
  </si>
  <si>
    <t>Lysosomal and antioxidant responses to metals in the Antarctic scallop Adamussium colbecki</t>
  </si>
  <si>
    <t>AQUATIC TOXICOLOGY</t>
  </si>
  <si>
    <t>Adamussium colbecki; trace metals; lysosomal responses; antioxidant defenses; biomarkers; Italian Base</t>
  </si>
  <si>
    <t>MYTILUS-EDULIS-L; WATER-ACCOMMODATED FRACTION; DIGESTIVE CELLS; COMMON MUSSEL; ENVIRONMENTAL CONTAMINANTS; QUANTITATIVE ALTERATIONS; MARINE-INVERTEBRATES; OXIDATIVE STRESS; AQUATIC ANIMALS; POLLUTION</t>
  </si>
  <si>
    <t>Lysosomal and antioxidant responses were investigated in the Antarctic scallop Adamussium colbecki exposed under laboratory conditions to metals as well as in specimens transplanted from a pristine area to the Bay receiving the discharges of the Italian Base. Exposure to copper and mercury resulted in a significant reduction of lysosomal membrane stability and in the appearance of severe morphological alterations varying from the presence of enlarged lysosomes to the loss of lysosomal structures. More limited effects were observed in Pb-exposed scallops. Moreover, laboratory exposures to Cu and Hg greatly depleted the levels of total glutathione and the activities of catalase and glutathione S-transferases were significantly reduced. More variable were the responses of glutathione peroxidases while superoxide dismutase remained almost constant. The interaction between lysosomal alterations and antioxidant defences is discussed and the results interpreted in view of the extreme environmental conditions for the Antarctic organisms. The results obtained from the transplantation experiment indicated only very limited effects on scallops translocated near the effluents of the Italian Base suggesting that the biological impact of the Base should not have major deleterious consequences on benthic marine communities. (C) 1998 Elsevier Science B.V. All rights reserved.</t>
  </si>
  <si>
    <t>Univ Pisa, Dipartimento Biomed Sperimentale Infett &amp; Pubbl, I-56100 Pisa, Italy</t>
  </si>
  <si>
    <t>University of Pisa</t>
  </si>
  <si>
    <t>Univ Pisa, Dipartimento Biomed Sperimentale Infett &amp; Pubbl, Via Volta 4, I-56100 Pisa, Italy.</t>
  </si>
  <si>
    <t>regoli@popcsi.unian.it</t>
  </si>
  <si>
    <t>Regoli, Francesco/K-2719-2018</t>
  </si>
  <si>
    <t>Regoli, Francesco/0000-0001-6084-6188</t>
  </si>
  <si>
    <t>0166-445X</t>
  </si>
  <si>
    <t>1879-1514</t>
  </si>
  <si>
    <t>AQUAT TOXICOL</t>
  </si>
  <si>
    <t>Aquat. Toxicol.</t>
  </si>
  <si>
    <t>10.1016/S0166-445X(97)00059-3</t>
  </si>
  <si>
    <t>Marine &amp; Freshwater Biology; Toxicology</t>
  </si>
  <si>
    <t>ZD547</t>
  </si>
  <si>
    <t>WOS:000072697500005</t>
  </si>
  <si>
    <t>Delmdahl, RF; Welcker, S; Gericke, KH</t>
  </si>
  <si>
    <t>Fine-structure analysis of ClO fragments in the mode-specific predissociation of chlorine dioxide</t>
  </si>
  <si>
    <t>fluorescence; multi-photon processes; photochemistry; radicals; spectroscopy, ultraviolet</t>
  </si>
  <si>
    <t>ANTARCTIC OZONE DEPLETION; PHOTODISSOCIATION DYNAMICS; STRATOSPHERIC OZONE; OCLO; STATE; NM; RADICALS; O(D-1); OCIO; BRO</t>
  </si>
  <si>
    <t>The photodissociation of OClO ((2)A(2)) --&gt; ClO ((XIIOmega)-I-2,upsilon,J,Lambda)+O (P-3) in the 424-450 nm region and in the 356-371 nm region has been investigated by monitoring the ClO ((XIIOmega)-I-2,upsilon = 0,J,Lambda) fragments using two-photon laser-induced fluorescence. In the long-wavelength regime the product vibrational excitation is clearly a function of the particular initial type of motion of OClO ((2)A(2)v(1),v(2),v(3)) This behavior is significantly reduced at shorter photolysis wavelengths. The population of the fragments rotational levels is observed to resemble Boltzmann distributions of around 1000 K. A population ratio of about P((II3/2)-I-2): P((II3/2)-I-2) = 3.5 is obtained for the two spin-orbit states of ClO. The Lambda-doublet states (A') and (A ) of the ClO fragments are equally preferred in the dissociation process.</t>
  </si>
  <si>
    <t>Tech Univ Braunschweig, Inst Theoret &amp; Phys Chem, D-38106 Braunschweig, Germany; Univ Frankfurt, Inst Kernphys, D-60486 Frankfurt, Germany</t>
  </si>
  <si>
    <t>Braunschweig University of Technology; Goethe University Frankfurt</t>
  </si>
  <si>
    <t>Delmdahl, RF (corresponding author), Tech Univ Braunschweig, Inst Theoret &amp; Phys Chem, Hans Sommer Str 10, D-38106 Braunschweig, Germany.</t>
  </si>
  <si>
    <t>10.1002/bbpc.19981020216</t>
  </si>
  <si>
    <t>YZ888</t>
  </si>
  <si>
    <t>WOS:000072304400015</t>
  </si>
  <si>
    <t>Stanwell-Smith, D; Peck, LS</t>
  </si>
  <si>
    <t>Temperature and embryonic development in relation to spawning and field occurrence of larvae of three Antarctic echinoderms</t>
  </si>
  <si>
    <t>BIOLOGICAL BULLETIN</t>
  </si>
  <si>
    <t>STERECHINUS-NEUMAYERI; ODONTASTER-VALIDUS; MCMURDO SOUND; WATER; ECHINOIDEA; ABUNDANCE; COLD</t>
  </si>
  <si>
    <t>The effects of temperature on development and viability were measured at 14 levels between -2 degrees C and + 3 degrees C on embryos of two asteroids (Odontaster validus and Odontaster meridionalis) and an echinoid (Sterechinus neumayeri) from Signy Island, Antarctica. Development rates were 2 to 10 times slower than those for temperate or tropical echinoderms, with times to hatching up to 240 h. Development rates for the two asteroids differed by 1.15 x, and rates for both species approximately doubled over the experimental temperature range. In O. validus, embryo viability was independent of temperature, but in O. meridionalis viability declined with increasing temperature. Development rates for S. neumayeri were little affected by temperature above +0.2 degrees C, but declined rapidly at lower temperatures. Conversely, the number of nonviable eggs was low and constant below +1.7 degrees C, but rose rapidly at higher temperatures. A window of optimal temperature, between +0.2 degrees C and +1.7 degrees C, has therefore been proposed for development time and embryo viability in this population of S. neumayeri. Spawning trials and field observations of larvae indicated that the time of gamete release and periods of larval development in S. neumayeri coincided with austral summer sea temperatures in the same window. Embryos of O. meridionalis and O. validus are released in winter, when temperatures are constantly below -1.6 degrees C. Comparison of the different strategies suggests that larval food supply and predation during planktonic phases are not the dominant ecological factors for these species.</t>
  </si>
  <si>
    <t>British Antarctic Survey, High Cross,Madingley Rd, Cambridge CB3 0ET, England.</t>
  </si>
  <si>
    <t>dpss@pcmail.nerc-bas.ac.uk</t>
  </si>
  <si>
    <t>UNIV CHICAGO PRESS</t>
  </si>
  <si>
    <t>CHICAGO</t>
  </si>
  <si>
    <t>1427 E 60TH ST, CHICAGO, IL 60637-2954 USA</t>
  </si>
  <si>
    <t>0006-3185</t>
  </si>
  <si>
    <t>1939-8697</t>
  </si>
  <si>
    <t>BIOL BULL-US</t>
  </si>
  <si>
    <t>Biol. Bull.</t>
  </si>
  <si>
    <t>10.2307/1542512</t>
  </si>
  <si>
    <t>Biology; Marine &amp; Freshwater Biology</t>
  </si>
  <si>
    <t>Life Sciences &amp; Biomedicine - Other Topics; Marine &amp; Freshwater Biology</t>
  </si>
  <si>
    <t>ZB934</t>
  </si>
  <si>
    <t>Green Submitted</t>
  </si>
  <si>
    <t>WOS:000072523000006</t>
  </si>
  <si>
    <t>Hodgson, DA; Johnston, NM; Caulkett, AP; Jones, VJ</t>
  </si>
  <si>
    <t>Palaeolimnology of Antarctic fur seal Arctocephalus gazella populations and implications for Antarctic management</t>
  </si>
  <si>
    <t>BIOLOGICAL CONSERVATION</t>
  </si>
  <si>
    <t>Antarctic; palaeolimnology; human impact; Antarctic fur seals; Arctocephalus gazella; Signy Island; Southern Ocean</t>
  </si>
  <si>
    <t>LAKE-SEDIMENTS; SOUTH GEORGIA; ISLAND</t>
  </si>
  <si>
    <t>A recent rapid increase in the number of Antarctic fur seals on Signy Island has caused extensive changes to terrestrial and freshwater ecosystems. A palaeolimnological study was carried out to determine whether the recent increase in the number of visiting fur seals has exceeded the range of natural variability of past populations and if a management response should be considered. Seal hairs in lake sediments from Sombre Lake were assessed as indicators of visiting fur seals. Results showed that sediments could be used to detect the presence, absence and possibly broad scale changes in the abundance of fur seals and indicated that fur seals have visited the island from the beginning of the sedimentary record (6570 +/- 60 C-14 years B.P.) when the coastline became ice-free. However, the previous maximum number of seals visiting the study site appears to have been no more than a quarter of the number recorded in 1994. The timing of changes in fur seal hair abundance indicates that historical activities of the sealing and whaling industries may be partly responsible for the current increase in fur seal populations. The results of this study have provided a unique historical perspective from which appropriate conservation measures at Signy Island, and possibly at other sites on northern maritime Antarctic islands and on the west coast of the Antarctic Peninsula, can be considered to address and minimise the impact of the Antarctic fur seals. (C) 1998 Elsevier Science Ltd.</t>
  </si>
  <si>
    <t>UCL, ENVIRONM CHANGE RES CTR, LONDON WC1H 0AP, ENGLAND</t>
  </si>
  <si>
    <t>University of London; University College London</t>
  </si>
  <si>
    <t>Hodgson, DA (corresponding author), BRITISH ANTARCTIC SURVEY, MADINGLEY RD, CAMBRIDGE CB3 0ET, ENGLAND.</t>
  </si>
  <si>
    <t>Johnston, Nadine M/0000-0003-2211-1492</t>
  </si>
  <si>
    <t>ELSEVIER SCI LTD</t>
  </si>
  <si>
    <t>THE BOULEVARD, LANGFORD LANE, KIDLINGTON, OXFORD OX5 1GB, OXON, ENGLAND</t>
  </si>
  <si>
    <t>0006-3207</t>
  </si>
  <si>
    <t>BIOL CONSERV</t>
  </si>
  <si>
    <t>Biol. Conserv.</t>
  </si>
  <si>
    <t>10.1016/S0006-3207(97)00068-2</t>
  </si>
  <si>
    <t>Biodiversity Conservation; Ecology; Environmental Sciences</t>
  </si>
  <si>
    <t>YJ193</t>
  </si>
  <si>
    <t>WOS:A1998YJ19300004</t>
  </si>
  <si>
    <t>Smith, RC; Baker, KS; Stammerjohn, SE</t>
  </si>
  <si>
    <t>Exploring sea ice indexes for polar ecosystem studies</t>
  </si>
  <si>
    <t>BIOSCIENCE</t>
  </si>
  <si>
    <t>TERM ECOLOGICAL RESEARCH; ANTARCTIC PENGUIN POPULATIONS; SOUTHERN-OCEAN; INTERANNUAL VARIABILITY; REDUCTION; PENINSULA</t>
  </si>
  <si>
    <t>Univ Calif San Diego, Scripps Inst Oceanog, La Jolla, CA 92093 USA; Univ Calif Santa Barbara, ICESS, Inst Computat Earth Syst Sci, Santa Barbara, CA 93106 USA</t>
  </si>
  <si>
    <t>University of California System; University of California San Diego; Scripps Institution of Oceanography; University of California System; University of California Santa Barbara</t>
  </si>
  <si>
    <t>Smith, RC (corresponding author), Univ Calif Santa Barbara, Marine Bioopt Grp, UCMBO, Santa Barbara, CA 93106 USA.</t>
  </si>
  <si>
    <t>Baker, Kate S/P-2087-2016</t>
  </si>
  <si>
    <t>STAMMERJOHN, SHARON/0000-0002-1697-8244</t>
  </si>
  <si>
    <t>AMER INST BIOLOGICAL SCI</t>
  </si>
  <si>
    <t>1444 EYE ST, NW, STE 200, WASHINGTON, DC 20005 USA</t>
  </si>
  <si>
    <t>0006-3568</t>
  </si>
  <si>
    <t>Bioscience</t>
  </si>
  <si>
    <t>10.2307/1313133</t>
  </si>
  <si>
    <t>Biology</t>
  </si>
  <si>
    <t>Life Sciences &amp; Biomedicine - Other Topics</t>
  </si>
  <si>
    <t>YT193</t>
  </si>
  <si>
    <t>WOS:000071574800004</t>
  </si>
  <si>
    <t>Smellie, JL; Millar, IL; Rex, DC; Butterworth, PJ</t>
  </si>
  <si>
    <t>Subaqueous, basaltic lava dome and carapace breccia on King George Island, South Shetland Islands, Antarctica</t>
  </si>
  <si>
    <t>BULLETIN OF VOLCANOLOGY</t>
  </si>
  <si>
    <t>lava dome; endogenous; basaltic; submarine; rheology; Antarctica</t>
  </si>
  <si>
    <t>MOUNT ST-HELENS; RHEOLOGICAL PROPERTIES; FLOW MORPHOLOGY; COOLING RATE; GROWTH; ERUPTION; VOLCANO; ICELAND; MAGMAS; CRYSTALLIZATION</t>
  </si>
  <si>
    <t>On King George Island during latest Oligocene/earliest Miocene time, submarine eruptions resulted in the emplacement of a small (ca. 500 m estimated original diameter) basalt lava dome at Low Head. The dome contains a central mass of columnar rock enveloped by fractured basalt and basalt breccia. The breccia is crystalline and is a joint-block deposit (lithic orthobreccia) interpreted as an unusually thick dome carapace breccia cogenetic with the columnar rock. It was formed in situ by a combination of intense dilation, fracturing and shattering caused by natural hydrofracturing during initial dome effusion and subsequent endogenous emplacement of further basalt melt, now preserved as the columnar rock. Muddy matrix with dispersed hyaloclastite and microfossils fills fractures and diffuse patches in part of the fractured basalt and breccia lithofacies. The sparse glass-rich clasts formed by cooling-contraction granulation during interaction between chilled basalt crust and surrounding water. Together with muddy sediment, they were injected into the dome by hydrofracturing, local steam fluidisation and likely explosive bulk interaction. The basalt lava was highly crystallised and degassed prior to extrusion. Together with a low effusion temperature and rapid convective heat loss in a submarine setting, these properties significantly affected the magma rheology (increased the viscosity and shear strength) and influenced the final dome-like form of the extrusion. Conversely, high heat retention was favoured by the degassed state of the magma (minimal undercooling), a thick breccia carapace and viscous shear heating, which helped to sustain magmatic (eruption) temperatures and enhanced the mobility of the flow.</t>
  </si>
  <si>
    <t>British Antarctic Survey, NERC, Cambridge CB3 0ET, England; NERC, Isotope Geosci Lab, Kingsley Dunham Ctr, Nottingham NG12 5GG, England; Univ Leeds, Dept Earth Sci, Leeds LS2 9JT, W Yorkshire, England; Arco British Ltd, Guildford GU1 1UE, Surrey, England</t>
  </si>
  <si>
    <t>UK Research &amp; Innovation (UKRI); Natural Environment Research Council (NERC); NERC British Antarctic Survey; UK Research &amp; Innovation (UKRI); Natural Environment Research Council (NERC); NERC British Geological Survey; University of Leeds</t>
  </si>
  <si>
    <t>Smellie, JL (corresponding author), British Antarctic Survey, NERC, Madingley Rd,High Cross, Cambridge CB3 0ET, England.</t>
  </si>
  <si>
    <t>Millar, Ian L/F-1541-2010</t>
  </si>
  <si>
    <t>233 SPRING ST, NEW YORK, NY 10013 USA</t>
  </si>
  <si>
    <t>0258-8900</t>
  </si>
  <si>
    <t>B VOLCANOL</t>
  </si>
  <si>
    <t>Bull. Volcanol.</t>
  </si>
  <si>
    <t>10.1007/s004450050189</t>
  </si>
  <si>
    <t>YX647</t>
  </si>
  <si>
    <t>WOS:000072062200002</t>
  </si>
  <si>
    <t>Aumont, O; Orr, JC; Jamous, D; Monfray, P; Marti, O; Madec, G</t>
  </si>
  <si>
    <t>A degradation approach to accelerate simulations to steady-state in a 3-D tracer transport model of the global ocean</t>
  </si>
  <si>
    <t>CLIMATE DYNAMICS</t>
  </si>
  <si>
    <t>GENERAL-CIRCULATION MODELS; DEEP-WATER FORMATION; WINTER MIXED LAYER; DOUBLE GYRE GCM; MEDITERRANEAN-SEA; ADVECTION SCHEME; EDDY RESOLUTION; RADIOCARBON; DIFFUSION; PACIFIC</t>
  </si>
  <si>
    <t>We have developed a new method to accelerate tracer simulations to steady-state in a 3-D global ocean model, run off-line. Using this technique, our simulations for natural (14)C ran 17 times faster when compared to those made with the standard non-accelerated approach. For maximum acceleration we wish to initialize the model with tracer fields that are as close as possible to the final equilibrium solution. Our initial tracer fields were derived by judiciously constructing a much faster, lower-resolution (degraded), off-line model from advective and turbulent fields predicted from the parent on-line model, an ocean general circulation model (OGCM). No on-line version of the degraded model exists; it is based entirely on results from the parent OGCM. Degradation was made horizontally over sets of four adjacent grid-cell squares for each vertical layer of the parent model. However, final resolution did not suffer because as a second step, after allowing the degraded model to reach equilibrium, we used its tracer output to re-initialize the parent model (at the original resolution). After re-initialization, the parent model must then be integrated only to a few hundred years before reaching equilibrium. To validate our degradation-integration technique (DEGINT), we compared (14)C results from runs with and without this approach. Differences are less than 10 parts per thousand, throughout 98.5% of the ocean volume. Predicted natural (14)C appears reasonable over most of the ocean. In the Atlantic, modeled Delta(14)C indicates that as observed, the North Atlantic Deep Water (NADW) fills the deep North Atlantic, and Antartic Intermediate Water (AAIW) infiltrates northward; conversely, simulated Antarctic Bottom Water (AABW) does not penetrate northward beyond the equator as it should. In the Pacific, in surface eastern equatorial waters, the model produces a north-south assymetry similar to that observed; other global ocean models do not, because their resolution is inadequate to resolve equatorial dynamics properly, particularly the intense equatorial undercurrent. The model's oldest water in the deep Pacific (at -239 parts per thousand,) is close to that observed (-248 parts per thousand,), but is too deep. Surface waters in the Southern Ocean are too rich in natural (14)C due to inadequacies in the OGCM's thermohaline forcing.</t>
  </si>
  <si>
    <t>CEA, CE Saclay, Lab Modelisat Climat &amp; Environm, DSM, F-91191 Gif Sur Yvette, France; Ctr Etud Saclay, CEA, CNRS, Ctr Faibles Radioact,Lab Mixte,LMCE, F-91191 Gif Sur Yvette, France; Univ Paris 06, UPMC, ORSTOM, CNRS,Lab Oceanog Dynam &amp; Climatol, Paris, France</t>
  </si>
  <si>
    <t>Universite Paris Saclay; CEA; CEA; Universite Paris Saclay; Centre National de la Recherche Scientifique (CNRS); Centre National de la Recherche Scientifique (CNRS); Institut de Recherche pour le Developpement (IRD); Sorbonne Universite</t>
  </si>
  <si>
    <t>Aumont, O (corresponding author), CEA, CE Saclay, Lab Modelisat Climat &amp; Environm, DSM, Orme Merisiers,Bt 709, F-91191 Gif Sur Yvette, France.</t>
  </si>
  <si>
    <t>MONFRAY, Patrick/AAB-8665-2020; Marti, Olivier/B-2378-2009; Orr, James C/C-5221-2009; madec, gurvan/E-7825-2010; Aumont, Olivier/G-5207-2016</t>
  </si>
  <si>
    <t>MONFRAY, Patrick/0000-0002-3028-5591; Marti, Olivier/0000-0002-8246-5578; madec, gurvan/0000-0002-6447-4198; Aumont, Olivier/0000-0003-3954-506X; Orr, James/0000-0002-8707-7080</t>
  </si>
  <si>
    <t>0930-7575</t>
  </si>
  <si>
    <t>CLIM DYNAM</t>
  </si>
  <si>
    <t>Clim. Dyn.</t>
  </si>
  <si>
    <t>10.1007/s003820050212</t>
  </si>
  <si>
    <t>YY430</t>
  </si>
  <si>
    <t>WOS:000072145800003</t>
  </si>
  <si>
    <t>Fago, A; Wells, RMG; Weber, RE</t>
  </si>
  <si>
    <t>Temperature-dependent enthalpy of oxygenation in Antarctic fish hemoglobins (vol 118, pg 319, 1997)</t>
  </si>
  <si>
    <t>COMPARATIVE BIOCHEMISTRY AND PHYSIOLOGY B-BIOCHEMISTRY &amp; MOLECULAR BIOLOGY</t>
  </si>
  <si>
    <t>Fago, Angela/J-5946-2013</t>
  </si>
  <si>
    <t>Fago, Angela/0000-0001-7315-2628</t>
  </si>
  <si>
    <t>0305-0491</t>
  </si>
  <si>
    <t>COMP BIOCHEM PHYS B</t>
  </si>
  <si>
    <t>Comp. Biochem. Physiol. B-Biochem. Mol. Biol.</t>
  </si>
  <si>
    <t>Biochemistry &amp; Molecular Biology; Zoology</t>
  </si>
  <si>
    <t>ZL804</t>
  </si>
  <si>
    <t>WOS:000073473200025</t>
  </si>
  <si>
    <t>Cobley, ND; Prince, PA</t>
  </si>
  <si>
    <t>Factors affecting primary molt in the gray-headed albatross</t>
  </si>
  <si>
    <t>CONDOR</t>
  </si>
  <si>
    <t>arrival mass; breeding experience; Diomedea chrysostoma; Gray-headed Albatross; primary molt; South Georgia; year effects</t>
  </si>
  <si>
    <t>DIOMEDEA-MELANOPHRIS; SOUTH GEORGIA; WANDERING ALBATROSS; D-CHRYSOSTOMA; BIRD ISLAND; REPRODUCTION; PATTERNS; LAYSAN; FOOD</t>
  </si>
  <si>
    <t>mean number of primaries molted by Gray-headed Albatrosses (Diomedea chrysostoma) varied with year and previous breeding experience independently, but was not related to individual reproductive success over a longer period. Within each category of breeding experience, birds renewed fewer primaries during the poor year of 1994, when subsequent reproductive success was only 27%, than in 1993 when subsequent reproductive success was 57%. Inspection of individual feathers indicated that the outer primaries were least likely to be renewed during the period of stress. Within each year, birds that failed in their breeding attempt during the previous year renewed fewer feathers than those which reared a chick two years previously, a difference which was probably partly related to the time available for molting. In 1994 only, the date of failure in the previous year was inversely related to the number of primaries molted by males. The arrival mass of males was positively correlated with the number of primaries molted in two out of four seasons. Males and females molted similar numbers of primaries.</t>
  </si>
  <si>
    <t>Cobley, ND (corresponding author), British Antarctic Survey, NERC, High Cross,Madingley Rd, Cambridge CB3 0ET, England.</t>
  </si>
  <si>
    <t>n.cobley@bas.ac.uk</t>
  </si>
  <si>
    <t>COOPER ORNITHOLOGICAL SOC</t>
  </si>
  <si>
    <t>ORNITHOLOGICAL SOC NORTH AMER PO BOX 1897, LAWRENCE, KS 66044-8897 USA</t>
  </si>
  <si>
    <t>0010-5422</t>
  </si>
  <si>
    <t>Condor</t>
  </si>
  <si>
    <t>10.2307/1369892</t>
  </si>
  <si>
    <t>YX527</t>
  </si>
  <si>
    <t>WOS:000072049500002</t>
  </si>
  <si>
    <t>Favero, M; Casaux, R; Silva, P; Barrera-Oro, E; Coria, N</t>
  </si>
  <si>
    <t>The diet of the Antarctic Shag during summer at Nelson Island, Antarctica</t>
  </si>
  <si>
    <t>Antarctic Shag; Antarctica; diet; fish; Phalacrocorax bransfieldensis; prey temporal variation; sexual variation in foraging</t>
  </si>
  <si>
    <t>BLUE-EYED SHAG; PHALACROCORAX-ATRICEPS-BRANSFIELDENSIS; SOUTH SHETLAND ISLANDS; DIVING PATTERNS; CARBO-SINENSIS</t>
  </si>
  <si>
    <t>Analysis of 139 stomach contents of the Antarctic Shag (Phalacrocorax brans-fieldensis) collected at Nelson Island, Antarctica, showed that fish were the main component in the diet, followed by octopods, gammarids, euphausiids, and polychaetes. The fish Notothenia coriiceps predominated in frequency (56%) and in mass (49%), whereas Harpagifer antarcticus was the most important by number (58%). The sizes of N. coriiceps and H. antarcticus taken by males were significantly larger than those caught by females. This dietary difference is probably due to differential prey selection related to shags' sexual dimorphism, temporal prey availability, and/or different foraging depths/areas. Observations at nests showed that females mainly foraged in the morning, whereas males foraged in the evening. No significant differences were observed between the number of daily foraging trips made by males and females, averaging 1.7 during incubation, 2.0 in early chick-rearing, and 4.6 during the late chick-rearing period. The estimated daily food intakes were 321, 315, and 758 g for females, and 421, 582, and 1,288 g for males during incubation, early and late chick-rearing, respectively.</t>
  </si>
  <si>
    <t>Univ Nacl Mar del Plata, Fac Ciencias Exactas &amp; Nat, Dept Biol, RA-7600 Mar Del Plata, Buenos Aires, Argentina; Inst Antartico Argentino, Div Biol, RA-1010 Buenos Aires, DF, Argentina; Univ Nacl Mar del Plata, Fac Ciencias Exactas &amp; Nat, Dept Ciencias Marinas, RA-7600 Mar Del Plata, Buenos Aires, Argentina</t>
  </si>
  <si>
    <t>National University of Mar del Plata; Instituto Antartico Argentino; National University of Mar del Plata</t>
  </si>
  <si>
    <t>Favero, M (corresponding author), Univ Nacl Mar del Plata, Fac Ciencias Exactas &amp; Nat, Dept Biol, Funes 3250, RA-7600 Mar Del Plata, Buenos Aires, Argentina.</t>
  </si>
  <si>
    <t>mafavero@mdp.edu.ar</t>
  </si>
  <si>
    <t>Favero, Marco/AGF-7428-2022</t>
  </si>
  <si>
    <t>Favero, Marco/0000-0003-1293-3417</t>
  </si>
  <si>
    <t>10.2307/1369902</t>
  </si>
  <si>
    <t>WOS:000072049500012</t>
  </si>
  <si>
    <t>Hathway, B; Lomas, SA</t>
  </si>
  <si>
    <t>The Upper Jurassic Lower Cretaceous Byers Group, South Shetland Islands, Antarctica: revised stratigraphy and regional correlations</t>
  </si>
  <si>
    <t>CRETACEOUS RESEARCH</t>
  </si>
  <si>
    <t>Jurassic-Cretaceous; lithostratigraphy; South Shetland Islands; Antarctica</t>
  </si>
  <si>
    <t>LIVINGSTON ISLAND; BASIN TRANSITION; ALEXANDER ISLAND; PENINSULA REGION; PALEOGEOGRAPHY</t>
  </si>
  <si>
    <t>The Byers Group, exposed in the western South Shetland Islands, is a thick (ar least 2.7 km) succession recording Late Jurassic-Early Cretaceous sedimentation and volcanism on the Pacific flank of the Antarctic Peninsula magmatic are. Ar least 1.3 km of marine elastic rocks are overlain by 1.4 km of non-marine strata. Penecontemporaneous, mainly intrusive, igneous rocks are present in much of the succession. At the base of the Byers Group, radiolarian-rich, hemipelagic mudstones of the Kimmeridgian-Tithonian Anchorage Formation are succeeded by terrigenous, slope-apron mudstones and sandstones of the Berriasian President Beaches Formation. These deep-marine strata are overlain by shallower-marine conglomerates and mudstones of the Berriasian-Valanginian Chester Cone Formation. The upper part of the marine succession also includes the volcanic breccias of the Start Hill Formation, interpreted as part of a debris-apron flanking a substantial volcanic edifice. Finally, following a Valanginian-Aptian erosional hiatus, non-marine volcaniclastic rocks of the Cerro Negro Formation were deposited in early Aptian times. Comparison with time-equivalent successions elsewhere in the Antarctic Peninsula region suggests that within the overall regressive trend, the Byers Group records regionally significant pulses of are uplift in Tithonian-earliest Berriasian, latest Berriasian, and late Valanginian-earliest Aptian times. (C) 1998 Academic Press Limited.</t>
  </si>
  <si>
    <t>Hathway, B (corresponding author), British Antarctic Survey, NERC, High Cross,Madingley Rd, Cambridge CB3 0ET, England.</t>
  </si>
  <si>
    <t>ACADEMIC PRESS LTD</t>
  </si>
  <si>
    <t>24-28 OVAL RD, LONDON NW1 7DX, ENGLAND</t>
  </si>
  <si>
    <t>0195-6671</t>
  </si>
  <si>
    <t>CRETACEOUS RES</t>
  </si>
  <si>
    <t>Cretac. Res.</t>
  </si>
  <si>
    <t>10.1006/cres.1997.0095</t>
  </si>
  <si>
    <t>Geology; Paleontology</t>
  </si>
  <si>
    <t>ZJ997</t>
  </si>
  <si>
    <t>WOS:000073274700003</t>
  </si>
  <si>
    <t>Riding, JB; Crame, JA; Dettmann, ME; Cantrill, DJ</t>
  </si>
  <si>
    <t>The age of the base of the Gustav Group in the James Ross Basin, Antarctica</t>
  </si>
  <si>
    <t>Aptian; biostratigraphy; James Ross Basin; Antarctica; palynology</t>
  </si>
  <si>
    <t>SEYMOUR-ISLAND; PENINSULA; PALYNOLOGY; STRATIGRAPHY; LIVINGSTON; POINT</t>
  </si>
  <si>
    <t>The Lagrelius Point Formation from its type area in north-west James Ross Island, Antarctica has yielded dinoflagellate cysts indicative of an earliest Aptian age. Reworked palynomorphs presumed to be from the Nordenskjold Formation (Kimmeridgian-Berriasian) were also encountered. The Lagrelius Point Formation also contains Early Cretaceous spore-pollen floras of Austral aspect. The indigenous stratigraphically significant dinoflagellate cysts include Herenaeenia postprojecta, Muderongia spp., Odontochitina spp. and Ovoidinium cinctum. This assemblage indicates that the Lagrelius Point Formation, the oldest formation of the Gustav Group, is Aptian rather than Barremian in age. This in turn means that the base of the extensive Cretaceous marine succession in the James Ross Basin can be dated accurately for the first time. The Lagrelius Point Formation is correlated with the Australian Odontochitina operculata dinoflagellate cyst Oppel Zone and the Cyclosporites hughesii spore-pollen Interval Zone. The extensive record of Aptian marine sedimentation within the James Ross Basin can be correlated directly with that of other key localities in the Antarctic Peninsula and Scotia are regions. There is still the possibility of a major stratigraphical hiatus in the preceding Hauterivian-Barremian stages. (C) 1998 Academic Press Limited.</t>
  </si>
  <si>
    <t>British Geol Survey, Nottingham NG12 5GG, England; British Antarctic Survey, NERC, Cambridge CB3 0ET, England; Univ Queensland, Dept Bot, St Lucia, Qld 4067, Australia</t>
  </si>
  <si>
    <t>UK Research &amp; Innovation (UKRI); Natural Environment Research Council (NERC); NERC British Geological Survey; UK Research &amp; Innovation (UKRI); Natural Environment Research Council (NERC); NERC British Antarctic Survey; University of Queensland</t>
  </si>
  <si>
    <t>British Geol Survey, Nottingham NG12 5GG, England.</t>
  </si>
  <si>
    <t>Cantrill, David/R-1415-2019</t>
  </si>
  <si>
    <t>Cantrill, David/0000-0002-1185-4015</t>
  </si>
  <si>
    <t>ACADEMIC PRESS LTD- ELSEVIER SCIENCE LTD</t>
  </si>
  <si>
    <t>1095-998X</t>
  </si>
  <si>
    <t>10.1006/cres.1998.0098</t>
  </si>
  <si>
    <t>WOS:000073274700005</t>
  </si>
  <si>
    <t>Holliday, NP; Read, JF</t>
  </si>
  <si>
    <t>Surface oceanic fronts between Africa and Antarctica</t>
  </si>
  <si>
    <t>DEEP-SEA RESEARCH PART I-OCEANOGRAPHIC RESEARCH PAPERS</t>
  </si>
  <si>
    <t>SOUTH INDIAN-OCEAN; AGULHAS CURRENT; WATER MASSES; CIRCUMPOLAR CURRENT; CIRCULATION; RETROFLECTION</t>
  </si>
  <si>
    <t>A study of the location of oceanic fronts during austral summers 1993-1995 in the Southern Ocean south and east of South Africa was carried out. Continuously sampled surface temperature and salinity data enable the locations and structures of oceanic fronts to be examined in greater detail than do discrete measurements. Nine fronts, including those of the Antarctic Circumpolar Current (ACC), are identified and their average positions and characteristic temperatures and salinities from 61 crossings during 19 legs of four UK WOCE (World Ocean Circulation Experiment) cruises are presented and discussed. The Agulhas Return Front is identified in surface water as far east as 56 degrees E. The South Subtropical Front is distinguished from the North Subtropical Front, and its characteristic stepped structure with small bands of homogeneous water between steps is described. Two separate surface features associated with the Polar Front are identified northwest and southeast of Kerguelen. Surface manifestations of the southern ACC front and southern boundary of the ACC are located south of the Kerguelen Plateau. It is suggested that the so-called Crozet Front, where several fronts apparently merge, is a result of widely spaced sampling, and such features can be resolved into the individual fronts with continuous surface sampling. The fine scale features common in this region are discussed, including temperature inversions south of fronts and the presence of meanders and cyclonic and anticyclonic eddies. (C) 1998 Elsevier Science Ltd. All rights reserved.</t>
  </si>
  <si>
    <t>Southampton Oceanog Ctr, George Deacon Div, Southampton SO14 3ZH, Hants, England</t>
  </si>
  <si>
    <t>NERC National Oceanography Centre; University of Southampton</t>
  </si>
  <si>
    <t>Southampton Oceanog Ctr, George Deacon Div, Empress Dock, Southampton SO14 3ZH, Hants, England.</t>
  </si>
  <si>
    <t>p.holliday@soc.soton.ac.uk</t>
  </si>
  <si>
    <t>Holliday, N. Penny/K-4577-2016</t>
  </si>
  <si>
    <t>Holliday, N. Penny/0000-0002-9733-8002</t>
  </si>
  <si>
    <t>0967-0637</t>
  </si>
  <si>
    <t>1879-0119</t>
  </si>
  <si>
    <t>DEEP-SEA RES PT I</t>
  </si>
  <si>
    <t>Deep-Sea Res. Part I-Oceanogr. Res. Pap.</t>
  </si>
  <si>
    <t>FEB-MAR</t>
  </si>
  <si>
    <t>2-3</t>
  </si>
  <si>
    <t>10.1016/S0967-0637(97)00081-2</t>
  </si>
  <si>
    <t>100BP</t>
  </si>
  <si>
    <t>WOS:000074794300002</t>
  </si>
  <si>
    <t>Figueroa, DE; de Astarloa, JMD; Martos, P</t>
  </si>
  <si>
    <t>Mesopelagic fish distribution in the southwest Atlantic in relation to water masses</t>
  </si>
  <si>
    <t>BRAZIL-MALVINAS; CONFLUENCE; VARIABILITY; CIRCULATION; CURRENTS</t>
  </si>
  <si>
    <t>A total of 150 mesopelagic fishes, representing 23 families and 47 species, were collected at 18 fishing stations occupied during four research cruises between 1988 and 1995. The main objectives of these cruises were to collect biological data of short-fin squid, Illex argentinus, and southern blue whiting, Micromesistius australis, in the southwest Atlantic within coordinates 36 degrees-56 degrees S and 44 degrees-62 degrees W. Different types of gear at a maximum depth of 1000 m were used. Myctophidae was the most diverse family, followed by Stomiidae, Sternoptychidae, Notosudidae and Melamphaidae. The myctophid Gymnoscopelus (G.) nicholsi and the gempylid Paradiplospinus gracilis were the most abundant species. Zoogeographic grouping of the 47 species on the basis of centres of distribution in relation to the hydrological conditions and types of water masses indicated that the sub-Antarctic species were the most numerous (18), followed by tropical-sub-tropical (13), sub-Antarctic-sub-tropical convergence (8 spp,) and widespread species (8). The transport of the fish fauna by means of an anticyclonic frontal eddy of the Brazil Current out of the sub-tropical zone into the sub-Antarctic is discussed. (C) 1998 Elsevier Science Ltd. All rights reserved.</t>
  </si>
  <si>
    <t>Univ Mar del Plata, Fac Ciencias Exactas &amp; Nat, Dept Ciencias Marinas, RA-7600 Mar Del Plata, Argentina; Inst Nacl Invest &amp; Desarrollo Pesquero, RA-7600 Mar Del Plata, Argentina</t>
  </si>
  <si>
    <t>National University of Mar del Plata; National Fisheries Research &amp; Development Institute (INIDEP)</t>
  </si>
  <si>
    <t>Figueroa, DE (corresponding author), Univ Mar del Plata, Fac Ciencias Exactas &amp; Nat, Dept Ciencias Marinas, Funes 3350, RA-7600 Mar Del Plata, Argentina.</t>
  </si>
  <si>
    <t>de Astarloa, Juan Diaz/F-5395-2012</t>
  </si>
  <si>
    <t>de Astarloa, Juan Diaz/0000-0002-9250-1771</t>
  </si>
  <si>
    <t>10.1016/S0967-0637(97)00076-9</t>
  </si>
  <si>
    <t>WOS:000074794300006</t>
  </si>
  <si>
    <t>Hofmann, EE; Powell, TM</t>
  </si>
  <si>
    <t>Environmental variability effects on marine fisheries: Four case histories</t>
  </si>
  <si>
    <t>ECOLOGICAL APPLICATIONS</t>
  </si>
  <si>
    <t>International Meeting on the State of Fisheries</t>
  </si>
  <si>
    <t>FEB, 1996</t>
  </si>
  <si>
    <t>MONTEREY, CALIFORNIA</t>
  </si>
  <si>
    <t>Antarctic krill; cod fishery; environmental variability; Gulf Stream rings; marine fisheries; North Atlantic Oscillation; oyster populations</t>
  </si>
  <si>
    <t>COD GADUS-MORHUA; ATLANTIC COD; NORTHWEST ATLANTIC; OYSTER POPULATIONS; WALLEYE POLLOCK; CLIMATE CHANGE; ICE EXTENT; RECRUITMENT; NEWFOUNDLAND; GULF</t>
  </si>
  <si>
    <t>The changing nature of marine fisheries requires management approaches that recognize and include ecosystem and environmental effects. Therefore, we review some examples of exploited fishery stocks in which environmental control is a major contributor to structuring the abundance and distribution of the stock. Four examples, taken from studies of northern cod (Gadus morhua), cod and haddock (Melanogrammus aeglefinus) larvae, the eastern oyster (Crassostrea virginica), and Antarctic krill (Euphausia superba), are given that clearly illustrate environmental control on the fishery. From these examples, we argue that future management strategies for exploited fisheries must include effects of environmental variability. In particular, management strategies must be flexible enough to include delayed responses to environmental variations that result from the transfer of perturbations from larger to smaller scales and vice versa. This capability requires an understanding of where linkages between the physical environment and the species of interest occur. Development of this knowledge requires input from a variety of disciplines, coordinated research programs, and considerable cooperation at national and international levels.</t>
  </si>
  <si>
    <t>Old Dominion Univ, Ctr Coastal Phys Oceanog, Norfolk, VA 23529 USA; Univ Calif Berkeley, Dept Integrat Biol, Berkeley, CA 94720 USA</t>
  </si>
  <si>
    <t>Old Dominion University; University of California System; University of California Berkeley</t>
  </si>
  <si>
    <t>Hofmann, EE (corresponding author), Old Dominion Univ, Ctr Coastal Phys Oceanog, Norfolk, VA 23529 USA.</t>
  </si>
  <si>
    <t>ECOLOGICAL SOC AMER</t>
  </si>
  <si>
    <t>2010 MASSACHUSETTS AVE, NW, STE 400, WASHINGTON, DC 20036 USA</t>
  </si>
  <si>
    <t>1051-0761</t>
  </si>
  <si>
    <t>ECOL APPL</t>
  </si>
  <si>
    <t>Ecol. Appl.</t>
  </si>
  <si>
    <t>S</t>
  </si>
  <si>
    <t>S23</t>
  </si>
  <si>
    <t>S32</t>
  </si>
  <si>
    <t>10.1890/1051-0761(1998)8[S23:EVEOMF]2.0.CO;2</t>
  </si>
  <si>
    <t>Ecology; Environmental Sciences</t>
  </si>
  <si>
    <t>Environmental Sciences &amp; Ecology</t>
  </si>
  <si>
    <t>YY621</t>
  </si>
  <si>
    <t>WOS:000072166600004</t>
  </si>
  <si>
    <t>Caroli, S; Senofonte, O; Caimi, S; Pucci, P; Pauwels, J; Kramer, GN</t>
  </si>
  <si>
    <t>A pilot study for the preparation of a new Reference Material based on antarctic krill</t>
  </si>
  <si>
    <t>FRESENIUS JOURNAL OF ANALYTICAL CHEMISTRY</t>
  </si>
  <si>
    <t>7th International Symposium on Biological and Environmental Reference Materials (BERM-7)</t>
  </si>
  <si>
    <t>APR 21-25, 1997</t>
  </si>
  <si>
    <t>ANTWERP, BELGIUM</t>
  </si>
  <si>
    <t>The preparation of new Certified Reference Materials (CRMs) of antarctic matrices forms the backbone of an ongoing project in the framework of the Italian National Program for Antarctic Research. The first CRM of this kind (MURST-ISS-A1 Antarctic Marine Sediment) is already available. The second phase focuses on the certification of antarctic krill, a small shrimp extremely abundant in the Southern Ocean. The total mass of krill available for this purpose is approximately 44 kg and results from the combination of three different catches (Ross Sea, Marguerite Bay and Livingston Island, respectively). The quantification of the following elements in the raw mass appears to be affordable by current analytical techniques, values being in the range of (in mu g/g) 0.11-0.30 for As, 0.03-0.12 for Cd, 0.06-0.23 for Cr, 6.1-21 for Cu, 5.7-7.6 for Fe, 0.005-0.008 for Hg, 0.7-1.2 for Mn, 0.013-0.077 for Ni, 0.04-0.57 for Pb and 12-16 for Zn. On the other hand, the average values ascertained in freeze-dried krill are as a rule one order of magnitude higher, i.e., (in mu g/g), 3.2 for As, 0.6 for Cd, 1.8 for Cr, 75 for Cu, 61 for Fe, 0.025 for Hg, 4.6 for Mn, 0.7 for Ni, 2.1 for Pb and 81 for Zn. Information on the pretreatment of krill and details on the planned certification campaign are also given.</t>
  </si>
  <si>
    <t>Ist Super Sanita, I-00161 Rome, Italy; Commiss European Communities, Joint Res Ctr, Inst Reference Mat &amp; Measurements, B-2440 Geel, Belgium</t>
  </si>
  <si>
    <t>Istituto Superiore di Sanita (ISS); European Commission Joint Research Centre; EC JRC Institute for Reference Materials &amp; Measurements (IRMM)</t>
  </si>
  <si>
    <t>Caroli, S (corresponding author), Ist Super Sanita, Viale Regina Elena 299, I-00161 Rome, Italy.</t>
  </si>
  <si>
    <t>Caimi, Stefano/HIR-3344-2022</t>
  </si>
  <si>
    <t>Caimi, Stefano/0000-0001-5338-4026</t>
  </si>
  <si>
    <t>0937-0633</t>
  </si>
  <si>
    <t>FRESEN J ANAL CHEM</t>
  </si>
  <si>
    <t>Fresenius J. Anal. Chem.</t>
  </si>
  <si>
    <t>10.1007/s002160050724</t>
  </si>
  <si>
    <t>Chemistry, Analytical</t>
  </si>
  <si>
    <t>ZB305</t>
  </si>
  <si>
    <t>WOS:000072457700034</t>
  </si>
  <si>
    <t>Bareille, G; Labracherie, M; Mortlock, RA; Maier-Reimer, E; Froelich, PN</t>
  </si>
  <si>
    <t>A test of (Ge/Si)opal as a paleorecorder of (Ge/Si)seawater</t>
  </si>
  <si>
    <t>BIOGENIC SILICA; SOUTHERN-OCEAN; ANTARCTIC OCEAN; DEEP-SEA; DISSOLUTION; ACCUMULATION; PRODUCTIVITY; PRESERVATION; SEDIMENTS; DIATOMS</t>
  </si>
  <si>
    <t>Late Pleistocene variations of germanium to silicon ratios in marine diatom shells from sediment cores, (Ge/Si)(opal), are coherent with the global isotope record of glacial to interglacial climate change. These variations are thought to reflect changes in (Ge/Si)(seawater) driven by climate-modulated alterations in oceanic Ge/Si sources and sinks. However, an important criterion for interpreting (Ge/Si)(opal) as a monitor of whole ocean (Ge/Si)(seawater) is that the opal burial ratio be insensitive both to local diatom production and surface ocean silica concentrations (so-called biological fractionation effects) and to differential dissolution artifacts (so-called diagenesis offsets). Here we test these assumptions by comparing model ocean sediment (Ge/Si)(opal) distributions with data from Holocene and glacial sediments across the high-latitude Indian-Antarctic Ocean siliceous ooze belt. In contrast to the model, the data show no gradients in either Holocene or glacial (Ge/Si)(opal) values across productivity zones displaying dramatic changes in biosiliceous production, opal burial, and dissolution. This evidence supports the contention that fractionation effects are small and that observed down-core variations in (Ge/Si)(opal) faithfully record secular changes in (Ge/Si)(seawater).</t>
  </si>
  <si>
    <t>Georgia Inst Technol, Sch Earth &amp; Atmospher Sci, Atlanta, GA 30332 USA; Univ Bordeaux 1, CNRS URA 197, Dept Geol &amp; Oceanog, F-33405 Talence, France; Columbia Univ, Lamont Doherty Earth Observ, Palisades, NY 10964 USA; Max Planck Inst Meteorol, D-20146 Hamburg, Germany</t>
  </si>
  <si>
    <t>University System of Georgia; Georgia Institute of Technology; Universite de Bordeaux; Centre National de la Recherche Scientifique (CNRS); Columbia University; Max Planck Society</t>
  </si>
  <si>
    <t>Froelich, PN (corresponding author), Georgia Inst Technol, Sch Earth &amp; Atmospher Sci, Atlanta, GA 30332 USA.</t>
  </si>
  <si>
    <t>Bareille, Gilles/AAS-3113-2020</t>
  </si>
  <si>
    <t>Mortlock, Richard/0000-0002-6019-5941</t>
  </si>
  <si>
    <t>10.1130/0091-7613(1998)026&lt;0179:ATOGSO&gt;2.3.CO;2</t>
  </si>
  <si>
    <t>YW331</t>
  </si>
  <si>
    <t>WOS:000071924000021</t>
  </si>
  <si>
    <t>Rodger, CJ; Dowden, RL</t>
  </si>
  <si>
    <t>Position determination of red sprites by scattering of VLF subionospheric transmissions</t>
  </si>
  <si>
    <t>GEOPHYSICAL RESEARCH LETTERS</t>
  </si>
  <si>
    <t>INDUCED ELECTRON-PRECIPITATION; AMPLITUDE PERTURBATIONS; 2 FREQUENCIES; PHASE; LOCATION; ECHOES</t>
  </si>
  <si>
    <t>VLF sprites are identified by high angle scattering of VLF transmissions by the highly conducting plasma columns which are observed as the luminous structure of red sprites. By using multiple receivers and/or transmitters the location of the sprite plasma can be determined using existing VLF methods. It is shown that the complex electrical structure of sprites leads to uncertainties in the position determination. However, these are normally no more than the lateral width of the sprite structure itself.</t>
  </si>
  <si>
    <t>Univ Otago, Dept Phys, Dunedin, New Zealand</t>
  </si>
  <si>
    <t>University of Otago</t>
  </si>
  <si>
    <t>Rodger, CJ (corresponding author), British Antarctic Survey, Upper Atmospher Sci Div, High Cross,Madingley Rd, Cambridge CB3 0ET, England.</t>
  </si>
  <si>
    <t>Rodger, Craig/A-1501-2011</t>
  </si>
  <si>
    <t>Rodger, Craig J./0000-0002-6770-2707</t>
  </si>
  <si>
    <t>0094-8276</t>
  </si>
  <si>
    <t>GEOPHYS RES LETT</t>
  </si>
  <si>
    <t>Geophys. Res. Lett.</t>
  </si>
  <si>
    <t>FEB 1</t>
  </si>
  <si>
    <t>10.1029/97GL03777</t>
  </si>
  <si>
    <t>YV640</t>
  </si>
  <si>
    <t>WOS:000071848000015</t>
  </si>
  <si>
    <t>James, PM</t>
  </si>
  <si>
    <t>An interhemispheric comparison of ozone mini-hole climatologies</t>
  </si>
  <si>
    <t>SOUTHERN-HEMISPHERE</t>
  </si>
  <si>
    <t>An ozone mini-hole is a synoptic-scale area of strongly reduced column total ozone, which undergoes a growth-decay cycle in association with tropospheric weather systems. A climatology of mini-hole occurrence over mid-latitudes of the southern hemisphere is constructed, based on 13 years of daily satellite measurements from the Nimbus-7 TOMS instrument, version 7 data. A computer-based analytical method for searching for synoptic-scale minima in the ozone field is employed to build up a catalogue of mini-hole events, recording their daily locations and intensities. The resulting statistics are compared to equivalent, recently published findings for the northern hemisphere, constructed using identical procedures. Interhemispheric differences in the spatial and seasonal properties of mini-holes are assessed. It is found that the great Antarctic ozone hole has a significant impact on mini-hole occurrence during the southern spring since it provides an extra source of depleted ozone not generally available over the northern hemisphere. Apart from this effect, however, mini-holes are shown to be less frequent than over the northern hemisphere.</t>
  </si>
  <si>
    <t>Univ Munich, Inst Theoret Meteorol, D-80333 Munich, Germany</t>
  </si>
  <si>
    <t>University of Munich</t>
  </si>
  <si>
    <t>James, PM (corresponding author), Univ Munich, Inst Theoret Meteorol, Theresienstr 37, D-80333 Munich, Germany.</t>
  </si>
  <si>
    <t>10.1029/97GL03643</t>
  </si>
  <si>
    <t>WOS:000071848000020</t>
  </si>
  <si>
    <t>Rolfe, J</t>
  </si>
  <si>
    <t>The prospects for economic and military security in Australasia</t>
  </si>
  <si>
    <t>JOURNAL OF ASIAN AND AFRICAN STUDIES</t>
  </si>
  <si>
    <t>Australasia consists of the two modern western states, Australia and New Zealand, the many small and developing states of Oceania, and the 'internationalized' Antarctic continent. Relations between the states within the sub-region are generally good. The diversity within the sub-system combined with its relative geographic isolation has generated wide variations in definition of national security. Australia and New Zealand have regionally significant armed forces and robust economies, For those countries security is seen through the traditional realist lenses, although neither defines any immediate threat. In Oceania, however, security is defined by the Pacific island states almost without any concept of defense against a military threat. Rather, security involves preventing or mitigating the effects of economic vulnerability, resource and environmental degradation, and, to a lesser extent, ensuring national stability. Only New Caledonia and Bougainville are potential albeit unlikely sources of wider regional instability. Barring significant activity in those places, Australasia will not become a major factor in wider Asian security considerations.</t>
  </si>
  <si>
    <t>Univ Victoria, Int Relat Programme, Wellington, New Zealand</t>
  </si>
  <si>
    <t>Victoria University Wellington</t>
  </si>
  <si>
    <t>Rolfe, J (corresponding author), Univ Victoria, Int Relat Programme, Wellington, New Zealand.</t>
  </si>
  <si>
    <t>BRILL ACADEMIC PUBLISHERS</t>
  </si>
  <si>
    <t>LEIDEN</t>
  </si>
  <si>
    <t>PLANTIJNSTRAAT 2, P O BOX 9000, 2300 PA LEIDEN, NETHERLANDS</t>
  </si>
  <si>
    <t>0021-9096</t>
  </si>
  <si>
    <t>J ASIAN AFR STUD</t>
  </si>
  <si>
    <t>J. Asian Afr. Stud.</t>
  </si>
  <si>
    <t>Area Studies</t>
  </si>
  <si>
    <t>Social Science Citation Index (SSCI)</t>
  </si>
  <si>
    <t>101AF</t>
  </si>
  <si>
    <t>WOS:000074846900002</t>
  </si>
  <si>
    <t>Livingston, FE; Whipple, GC; George, SM</t>
  </si>
  <si>
    <t>Surface and bulk diffusion of HDO on ultrathin single-crystal ice multilayers on Ru(001)</t>
  </si>
  <si>
    <t>JOURNAL OF CHEMICAL PHYSICS</t>
  </si>
  <si>
    <t>INDUCED THERMAL-DESORPTION; VAPOR-DEPOSITED ICE; X-RAY TOPOGRAPHY; ANTARCTIC OZONE; HETEROGENEOUS REACTIONS; HYDROGEN-CHLORIDE; STRATOSPHERIC ICE; REFRACTIVE-INDEX; TRANSITION LAYER; H2O</t>
  </si>
  <si>
    <t>The kinetics of HDO Surface and bulk diffusion on ultrathin (25-192 BL; 96-700 Angstrom) single-crystal (H2O)-O-16 ice multilayers were studied using a combination of laser-induced thermal desorption (LITD) probing and isothermal desorption depth-profiling. The single-crystal hexagonal ice multilayers were grown epitaxially on a single-crystal Ru(001) metal substrate with the basal (001) facet of ice parallel to the Ru(001) surface. HDO surface diffusion on the single-crystal ice multilayer was not observed within the resolution of the LITD experiment at T=140 K. These LITD surface diffusion experiments yielded an upper Limit to the HDO surface diffusion coefficient of D-s less than or equal to 1x10(-9) cm(2)/s at T= 40 K. The bulk diffusion coefficients were measured along the c axis of the hexagonal ice crystal which is perpendicular to the (001) plane. HDO was observed to diffuse readily into the underlying (H2O)-O-16 ice multilayer. The measured HDO bulk diffusion coefficients ranged from D = 2.2(+/-0.3)x10(-16) cm(2)/s to D=3.9(+/-0.4)x10(-14) cm(2)/s over the temperature range from 153 to 170 K. The HDO bulk diffusion coefficients-were measured for (H2O)-O-16 thicknesses of 25-192 BL (1 BL=1.06x10(15) molecules/cm(2)) and initial HDO adlayer thicknesses of 2-9 BL. The KDO bulk diffusion was independent of (H2O)-O-16 him thickness and initial HDO coverage. Arrhenius analysis of the temperature-dependent bulk diffusion coefficients yielded a diffusion activation energy of E-A =17.0+/-1.0 kcal/mol and a diffusion preexponential of D-0=4.2(+/-0.8)x10(8) cm(2)/s. Compared with extrapolations from macroscopic diffusion kinetics obtained earlier at temperatures close to the melting point, these bulk diffusion coefficients are larger and may reflect the perturbation of the ultrathin ice films induced by the nearby interfaces. The differences between these HDO diffusion kinetics and recently measured kinetics for (H2O)-O-16 indicate that H/D exchange and molecular transport make comparable contributions to the HDO diffusion coefficient. (C) 1998 American Institute of Physics.</t>
  </si>
  <si>
    <t>Univ Colorado, Dept Chem &amp; Biochem, Boulder, CO 80309 USA</t>
  </si>
  <si>
    <t>University of Colorado System; University of Colorado Boulder</t>
  </si>
  <si>
    <t>Livingston, FE (corresponding author), Univ Colorado, Dept Chem &amp; Biochem, Boulder, CO 80309 USA.</t>
  </si>
  <si>
    <t>George, Steven/O-2163-2013</t>
  </si>
  <si>
    <t>George, Steven/0000-0003-0253-9184</t>
  </si>
  <si>
    <t>AMER INST PHYSICS</t>
  </si>
  <si>
    <t>WOODBURY</t>
  </si>
  <si>
    <t>CIRCULATION FULFILLMENT DIV, 500 SUNNYSIDE BLVD, WOODBURY, NY 11797-2999 USA</t>
  </si>
  <si>
    <t>0021-9606</t>
  </si>
  <si>
    <t>J CHEM PHYS</t>
  </si>
  <si>
    <t>J. Chem. Phys.</t>
  </si>
  <si>
    <t>10.1063/1.475600</t>
  </si>
  <si>
    <t>YU725</t>
  </si>
  <si>
    <t>WOS:000071748000053</t>
  </si>
  <si>
    <t>Kutterer, H</t>
  </si>
  <si>
    <t>Quality aspects of a GPS reference network in Antarctica - a simulation study</t>
  </si>
  <si>
    <t>JOURNAL OF GEODESY</t>
  </si>
  <si>
    <t>monitoring network; sensitivity analysis; eigenvalue decomposition</t>
  </si>
  <si>
    <t>GPS has become an essential tool for the precise determination of point positions. Since GPS campaigns for geodynamic purposes - such as the monitoring of recent crustal movements - require major financial efforts, it is essential to ensure already in the planning phase a good network quality and the attainment of the scientific goals in a reasonable time. The paper outlines an operationally oriented procedure for these purposes based on the simulation and processing of GPS carrier-phase observations. Sensitivity analysis techniques are applied to describe both the network strain as it may be induced by gross errors and the detectability of point movements between two sessions or two campaigns. In addition, the eigenvalue decomposition of the variance-covariance matrix of the GPS coordinates will be used to identify weakly determined network components. The design of the SCAR Epoch 95 Campaign GPS network is discussed throughout the paper. It was realized in the Antarctic summer 1994/1995 on the Antarctic peninsula.</t>
  </si>
  <si>
    <t>Univ Karlsruhe, Geodat Inst, D-76128 Karlsruhe, Germany</t>
  </si>
  <si>
    <t>Helmholtz Association; Karlsruhe Institute of Technology</t>
  </si>
  <si>
    <t>Kutterer, H (corresponding author), Univ Karlsruhe, Geodat Inst, Englerstr 7, D-76128 Karlsruhe, Germany.</t>
  </si>
  <si>
    <t>0949-7714</t>
  </si>
  <si>
    <t>J GEODESY</t>
  </si>
  <si>
    <t>J. Geodesy</t>
  </si>
  <si>
    <t>10.1007/s001900050148</t>
  </si>
  <si>
    <t>Geochemistry &amp; Geophysics; Remote Sensing</t>
  </si>
  <si>
    <t>ZA976</t>
  </si>
  <si>
    <t>WOS:000072421800001</t>
  </si>
  <si>
    <t>Rodger, CJ; Thomson, NR; Dowden, RL</t>
  </si>
  <si>
    <t>Are whistler ducts created by thunderstorm electrostatic fields?</t>
  </si>
  <si>
    <t>JOURNAL OF GEOPHYSICAL RESEARCH-SPACE PHYSICS</t>
  </si>
  <si>
    <t>THUNDERCLOUD ELECTRIC-FIELDS; ALIGNED IRREGULARITIES; ACTIVE THUNDERSTORM; IONOSPHERE; MAGNETOSPHERE; PENETRATION; ATMOSPHERE</t>
  </si>
  <si>
    <t>Park and Helliwell [1971] suggested that whistler ducts might be caused by plasma interchange of geomagnetic flux tubes driven by thundercloud electrostatic fields. At present, this is the most favored whistler duct creation mechanism. Theoretical formulations have been developed to calculate high-altitude electric fields due to electrified clouds, taking into account the presence of the ionosphere. Previous studies have calculated the values of these fields, making use of approximated conductivity profiles. Calculations are undertaken using more accurate representations of more modern conductivity profiles than those used previouly. Preference is given to experimental rather than theoretically derived conductivity profiles. These calculations indicate that under typical conductivity conditions the high-altitude electric fields from even giant thunderclouds are too small to create a realistic whistler duct in a realistic period. This is the case for both day and night conditions.</t>
  </si>
  <si>
    <t>J GEOPHYS RES-SPACE</t>
  </si>
  <si>
    <t>J. Geophys. Res-Space Phys.</t>
  </si>
  <si>
    <t>A2</t>
  </si>
  <si>
    <t>10.1029/97JA02927</t>
  </si>
  <si>
    <t>YV622</t>
  </si>
  <si>
    <t>WOS:000071845800026</t>
  </si>
  <si>
    <t>Testing the formulation of Park and Dejnakarintra to calculate thunderstorm dc electric fields</t>
  </si>
  <si>
    <t>ALIGNED IRREGULARITIES; ACTIVE THUNDERSTORM; IONOSPHERE; MAGNETOSPHERE; THUNDERCLOUD; CONDUCTIVITY; ATMOSPHERE; PENETRATION; MIDDLE; ANVIL</t>
  </si>
  <si>
    <t>Park and Dejnakarintra [1973] presented a formulation to calculate high-altitude electric fields due to electrified clouds, taking into account the presence of the ionosphere. Calculation of these fields is necessary to test the hypothesis that whistler ducts might be caused by plasma interchange of geomagnetic flux tubes driven by thundercloud electrostatic fields, To test the accuracy of the formulation, the calculated de electric fields are compared with those measured during a thunderstorm campaign reported by Holzworth et al, [1985]. Using a conductivity profile measured during their campaign, it is shown that the formulation of Park and Dejnakarintra produces electric field predictions which are consistent with the measurements of Holzworth et al. This indicates the formulation developed by Park and Dejnakarintra is valid. The comparisons agree with measurements which show that large negative screening charges commonly exist around the top of thunderclouds, reducing the high altitude fields. These calculations indicate that the effective thunderstorm charge used in such calculations needs to be significantly reduced to account for screening charges. Such reductions lead to serious increases (up to a factor of 10) in the time required for high-altitude thunderstorm electric fields to produce whistler ducts.</t>
  </si>
  <si>
    <t>10.1029/97JA02769</t>
  </si>
  <si>
    <t>WOS:000071845800027</t>
  </si>
  <si>
    <t>Smith, PR; Dyson, PL; Monselesan, DP; Morris, RJ</t>
  </si>
  <si>
    <t>Ionospheric convection at Casey, a southern polar cap station</t>
  </si>
  <si>
    <t>INTERPLANETARY MAGNETIC-FIELD; HIGH-LATITUDE CONVECTION; ELECTRIC-FIELD; PLASMA-FLOW; DIGISONDE MEASUREMENTS; NORTHWARD; MODEL; IMF; DISTRIBUTIONS; HEMISPHERE</t>
  </si>
  <si>
    <t>A digital ionosonde (Digisonde Portable Sounder 4) located at Casey, Antarctica (66.3 degrees S, 110.5 degrees E, -80.8 degrees corrected geomagnetic latitude) has been operational since early 1993 and has accumulated 3 years of plasma drift measurements, providing an excellent data set for studying the characteristics of ionospheric convection flow at a southern polar cap station. The purpose of this study is to investigate the influence of the IMF on the F region ionospheric convection over Casey and to compare it to the Heppner-Maynard satellite-derived electric field models. We find clear dependencies in the drift on the sign and strength of the IMF B-y and B-z components and with Kp. Antisunward flow dominates during B-z south conditions, turning to have a sunward component around noon when B-z is northward. The B-y component causes the entire convection system to rotate and distorts the dayside flow in the proximity of the throat, with a dawnward (duskward) component for B-y negative (positive). Comparison with the B-z south Heppner-Maynard BC, DE, and A patterns is favorable at most times, although we predict a rounder, more dominant dusk (dawn) cell and a smaller crescent-shaped dawn (dusk) cell for B-y &lt; 0 (B-y &gt; 0). There is a dependence on Kp when B-z is south in both the model and the drifts, flow directions becoming more antisunward and velocities becoming higher on the dayside as Kp increases. This implies the polar cap is expanding under conditions of enhanced reconnection. When B-z is north, the F region drift agreement with the BCP(P) and DEP(P) models is excellent on the dawn (dusk) side for B-y &lt; 0 (B-y &gt; 0) but diverges on the opposite side as the pattern flow lines twist sunward. Separation of the drifts into B-z weakly (&lt;3 nT) and strongly (&gt;3 nT) northward cases did not reveal any appreciable difference in the observed drift velocities.</t>
  </si>
  <si>
    <t>La Trobe Univ, Sch Elect Engn, Bundoora, Vic 3083, Australia; La Trobe Univ, Sch Phys, Bundoora, Vic 3083, Australia; Antarctic Div, Kingston, Tas 7050, Australia</t>
  </si>
  <si>
    <t>La Trobe University; La Trobe University; Australian Antarctic Division</t>
  </si>
  <si>
    <t>La Trobe Univ, Sch Elect Engn, Bundoora, Vic 3083, Australia.</t>
  </si>
  <si>
    <t>p.smith@ee.latrobe.edu.au; P.Dyson@latrobe.edu.au; ray_mor@antdiv.gov.au</t>
  </si>
  <si>
    <t>2169-9380</t>
  </si>
  <si>
    <t>2169-9402</t>
  </si>
  <si>
    <t>10.1029/97JA02819</t>
  </si>
  <si>
    <t>WOS:000071845800031</t>
  </si>
  <si>
    <t>Snyder, R</t>
  </si>
  <si>
    <t>Aspects of the biology of the giant form of Sthenoteuthis oualaniensis (Cephalopoda: Ommastrephidae) from the Arabian Sea</t>
  </si>
  <si>
    <t>JOURNAL OF MOLLUSCAN STUDIES</t>
  </si>
  <si>
    <t>SQUID; TEUTHOIDEA; OEGOPSIDA; GROWTH</t>
  </si>
  <si>
    <t>An investigation was carried out on the recently discovered 'giant' extra large (XL) form of the squid Sthenoteuthis oualaniensis from the Arabian Sea. The sample consisted of 2 males, which have not been previously described, and 13 females. Diet composition, parasite loading, sucker ring dentition, bioluminescence and sexual dimorphism were examined and compared to known parameters of the medium (M) form. Reproductive strategy, potential fecundity, egg size distribution in the ovary and oviducts were examined in mature XL females. Evidence of multiple spawning in the giant form was also investigated. Overall body shape, bioluminescent structures and coloration of the giant form were similar to the M form, though the XL form had a smaller fin angle than the M form. The mature female XL form has a dorsal mantle length about twice that of a mature female M form. Adult females of the XL form have a dorsal mantle length about twice that of adult males of the same form. Differences between males and females were found in arm sucker ring dentition and parasite load, suggesting a difference in diet. This could be linked to size differences between the sexes. A strong correlation between ovary mass and mantle length was found (r(2) = 0.64). Poor correlation was found between mantle length and oviduct mass (r(2) = 0.128) and potential fecundity (r(2) = 0.07). Potential fecundity ranged between 2-5 million eggs and the holding capacity of the oviducts was approximately 300,000 eggs. This combined with the presence of spermatangia and the presence of food in the stomach suggest that the XL form is a multiple spawner. S. oualaniensis appears to have a plastic phenotype and has adapted to the Arabian Sea conditions by evolving the capacity to grow to a giant size.</t>
  </si>
  <si>
    <t>British Antarctic Survey, NERC, Cambridge CB3 0ET, England; Univ Aberdeen, Dept Zool, Aberdeen AB9 2TN, Scotland</t>
  </si>
  <si>
    <t>UK Research &amp; Innovation (UKRI); Natural Environment Research Council (NERC); NERC British Antarctic Survey; University of Aberdeen</t>
  </si>
  <si>
    <t>Snyder, R (corresponding author), British Antarctic Survey, NERC, High Cross,Madingley Rd, Cambridge CB3 0ET, England.</t>
  </si>
  <si>
    <t>OXFORD UNIV PRESS</t>
  </si>
  <si>
    <t>GREAT CLARENDON ST, OXFORD OX2 6DP, ENGLAND</t>
  </si>
  <si>
    <t>0260-1230</t>
  </si>
  <si>
    <t>J MOLLUS STUD</t>
  </si>
  <si>
    <t>J. Molluscan Stud.</t>
  </si>
  <si>
    <t>10.1093/mollus/64.1.21</t>
  </si>
  <si>
    <t>ZE799</t>
  </si>
  <si>
    <t>Bronze, Green Accepted</t>
  </si>
  <si>
    <t>WOS:000072832100003</t>
  </si>
  <si>
    <t>Stanwell-Smith, D; Clarke, A</t>
  </si>
  <si>
    <t>The timing of reproduction in the Antarctic limpet Nacella concinna (Strebel, 1908) (Patellidae) at Signy Island, in relation to environmental variables</t>
  </si>
  <si>
    <t>FOOD AVAILABILITY; TEMPERATURE; GROWTH</t>
  </si>
  <si>
    <t>Stanwell-Smith, D (corresponding author), British Antarctic Survey, Cambridge CB3 0ET, England.</t>
  </si>
  <si>
    <t>10.1093/mollus/64.1.123</t>
  </si>
  <si>
    <t>WOS:000072832100011</t>
  </si>
  <si>
    <t>Roberts, D; McMinn, A</t>
  </si>
  <si>
    <t>A weighted-averaging regression and calibration model for inferring lakewater salinity from fossil diatom assemblages in saline lakes of the Vestfold hills: a new tool for interpreting Holocene lake histories in Antarctica</t>
  </si>
  <si>
    <t>JOURNAL OF PALEOLIMNOLOGY</t>
  </si>
  <si>
    <t>Antarctica; saline lakes; weighted averaging; transfer function; diatom analysis; palaeolimnology; climate change</t>
  </si>
  <si>
    <t>BRITISH-COLUMBIA CANADA; NORTHERN GREAT-PLAINS; EAST-ANTARCTICA; GRADIENT ANALYSIS; WATER CHEMISTRY; RECONSTRUCTION; FLUCTUATIONS; EVOLUTION; SUBJECT; ISLAND</t>
  </si>
  <si>
    <t>The relationship between surface sediment diatom assemblages and measured limnological variables in thirty-three coastal Antarctic lakes from the Vestfold Hills was examined by constructing a diatom-water chemistry dataset. Previous analysis of this dataset by canonical correspondence analysis revealed that salinity accounted for a significant amount of the variation in the distribution of the diatom assemblages. Weighted-averaging regression and calibration of this diatom-salinity relationship was used to establish a transfer function for the reconstruction of past lakewater salinity from fossil diatom assemblages. Weighted-averaging regression and calibration with classical deshrinking provided the best model for salinity reconstructions and this was applied to the fossil diatom assemblages from one of the saline lakes in the Vestfold Hills in order to assess its potential for palaeosalinity and palaeoclimate reconstruction.</t>
  </si>
  <si>
    <t>Antarctic CRC, Hobart, Tas 7001, Australia; Univ Tasmania, Inst Antarctic &amp; So Ocean Studies, Hobart, Tas 7001, Australia</t>
  </si>
  <si>
    <t>University of Tasmania</t>
  </si>
  <si>
    <t>Antarctic CRC, Box 252-80, Hobart, Tas 7001, Australia.</t>
  </si>
  <si>
    <t>D.Roberts@iasos.utas.edu.au; Andrew.Mcminn@iasos.utas.edu.au</t>
  </si>
  <si>
    <t>Roberts, Donna/0000-0001-6701-6662</t>
  </si>
  <si>
    <t>VAN GODEWIJCKSTRAAT 30, 3311 GZ DORDRECHT, NETHERLANDS</t>
  </si>
  <si>
    <t>0921-2728</t>
  </si>
  <si>
    <t>1573-0417</t>
  </si>
  <si>
    <t>J PALEOLIMNOL</t>
  </si>
  <si>
    <t>J. Paleolimn.</t>
  </si>
  <si>
    <t>10.1023/A:1007947402927</t>
  </si>
  <si>
    <t>Environmental Sciences; Geosciences, Multidisciplinary; Limnology</t>
  </si>
  <si>
    <t>Environmental Sciences &amp; Ecology; Geology; Marine &amp; Freshwater Biology</t>
  </si>
  <si>
    <t>ZJ856</t>
  </si>
  <si>
    <t>WOS:000073260600001</t>
  </si>
  <si>
    <t>Amsler, CD; McClintock, JB; Baker, BJ</t>
  </si>
  <si>
    <t>Chemical defense against herbivory in the Antarctic marine macroalgae Iridaea cordata and Phyllophora antarctica (Rhodophyceae)</t>
  </si>
  <si>
    <t>JOURNAL OF PHYCOLOGY</t>
  </si>
  <si>
    <t>Antarctica; chemical defense; herbivory; Iridaea cordata; Phyllophora antarctica</t>
  </si>
  <si>
    <t>SOUTH ORKNEY ISLANDS; SECONDARY METABOLITES; MCMURDO SOUND; SIGNY ISLAND; PENINSULA; BIOMASS; ECOLOGY; DESMARESTIALES; ECHINODERMATA; PHAEOPHYCEAE</t>
  </si>
  <si>
    <t>Iridaea cordata (Turner) Bory and Phyllophora antarctica A. et E. S. Gepp (Gigartinales, Rhodophyceae) are common in many high-latitude, shallow benthic marine communities in Antarctica, but previous observations have indicated little or no exploitation by potential herbivores. We have measure retention of test disks over the mouths of the common Antarctic sea urchin Sterechinus neumayeri Meissner, and we have used this assay to examine potential chemical defenses in I. cordata and P. antarctica. Thallus disks of both macroalgal species were retained by the urchins for significantly shorter times than inert filter paper disks and much shorter times than paper disks with a feeding stimulant. Both nonpolar and polar extracts of each macroalgal species added to disks with a feeding stimulant significantly decreased retention times relative to controls. These results support the hypothesis that chemical defenses in I. cordata and P. antarctica play a role in deterring potential herbivores.</t>
  </si>
  <si>
    <t>Univ Alabama Birmingham, Dept Biol, Birmingham, AL 35294 USA; Florida Inst Technol, Dept Chem, Melbourne, FL 32901 USA</t>
  </si>
  <si>
    <t>University of Alabama System; University of Alabama Birmingham; Florida Institute of Technology</t>
  </si>
  <si>
    <t>Amsler, CD (corresponding author), Univ Alabama Birmingham, Dept Biol, Birmingham, AL 35294 USA.</t>
  </si>
  <si>
    <t>amsler@uab.edu</t>
  </si>
  <si>
    <t>Baker, Bill/N-4312-2019</t>
  </si>
  <si>
    <t>Amsler, Charles/0000-0002-4843-3759</t>
  </si>
  <si>
    <t>0022-3646</t>
  </si>
  <si>
    <t>1529-8817</t>
  </si>
  <si>
    <t>J PHYCOL</t>
  </si>
  <si>
    <t>J. Phycol.</t>
  </si>
  <si>
    <t>10.1046/j.1529-8817.1998.340053.x</t>
  </si>
  <si>
    <t>ZB981</t>
  </si>
  <si>
    <t>WOS:000072527700006</t>
  </si>
  <si>
    <t>Stoecker, DK; Gustafson, DE; Black, MMD; Baier, CT</t>
  </si>
  <si>
    <t>Population dynamics of microalgae in the upper land-fast sea ice at a snow-free location</t>
  </si>
  <si>
    <t>Antarctica; archaeomonads; chrysophytes; cysts; dinoflagellates; ice algae; land-fast ice; Mantoniella; McMurdo Sound; sea ice; statocysts; stomatocysts</t>
  </si>
  <si>
    <t>ANTARCTIC PACK-ICE; MICROBIAL COMMUNITIES SIMCO; SPRING-SUMMER TRANSITION; MCMURDO-SOUND; EASTERN ANTARCTICA; BRINE COMMUNITY; ELLIS FJORD; BIOTA; BLOOM; ABUNDANCE</t>
  </si>
  <si>
    <t>The population dynamics of interior ice microalgae were investigated at a snow-free site on annual land-fast sea ice in McMurdo Sound, Antarctica, during the austral spring and summer of 1995-96. A dynamic successional sequence was observed with life history transformations playing an important role. During late November and early December (austral spring), cryo- and halotolerant dinoflagellates and chrysophytes bloomed in brine channels within the upper ice. At this time, competition and grazing pressure are low because of the inability of most marine species to grow under the extreme environmental conditions found in the upper ice during the austral spring. In November and December, dinoflagellates, chrysophytes, and prasinophytes contributed an average 66%, 44%, and &lt;1% of the of the phytoflagellate biomass, respectively. Both the dinoflagellates and the chrysophytes encysted in December, and flushing of the ice. The cysts appear to be an adaptation for survival and dispersal in the plankton during ice decay and/or overwintering in the sea ice. In January (astral summer), when ice temperatures were similar to those in the water column, pennate diatoms replaced flagellates as the photosynthetic dominants in the upper sea ice. The upper land-fast sea ice undergoes dramatic seasonal changes in light availability, temperature, brine salinity, and inorganic nutrient availability. Ephemeral blooms of cyst-forming phytoflagellates exploit this habitat in the austral spring, when both inorganic nutrients and light are available but temperatures &lt;-2 degrees C and brine salinities elevated.</t>
  </si>
  <si>
    <t>Univ Maryland, Horn Point Environm Lab, Ctr Environm Sci, Cambridge, MD 21613 USA</t>
  </si>
  <si>
    <t>University System of Maryland; University of Maryland Center for Environmental Science</t>
  </si>
  <si>
    <t>Stoecker, DK (corresponding author), Univ Maryland, Horn Point Environm Lab, Ctr Environm Sci, POB 775, Cambridge, MD 21613 USA.</t>
  </si>
  <si>
    <t>stoecker@hpl.umces.edu</t>
  </si>
  <si>
    <t>Black, Megan MMD/G-6410-2016; stoecker, diane k/F-9341-2013</t>
  </si>
  <si>
    <t>Black, Megan/0000-0001-5511-1419</t>
  </si>
  <si>
    <t>PHYCOLOGICAL SOC AMER INC</t>
  </si>
  <si>
    <t>10.1046/j.1529-8817.1998.340060.x</t>
  </si>
  <si>
    <t>WOS:000072527700007</t>
  </si>
  <si>
    <t>Roos, JC; Vincent, WF</t>
  </si>
  <si>
    <t>Temperature dependence of UV radiation effects on Antarctic cyanobacteria</t>
  </si>
  <si>
    <t>acclimation; blue-green alga; carotenoids; chlorophyll; photosynthesis; UV-B radiation</t>
  </si>
  <si>
    <t>ULTRAVIOLET-B RADIATION; MARINE-PHYTOPLANKTON; CHLORELLA-VULGARIS; PHOTOSYNTHESIS; PHOTOINHIBITION; GROWTH; LIGHT; INHIBITION; ECOSYSTEMS; TURNOVER</t>
  </si>
  <si>
    <t>The mat-forming cyanobacterium Phormidium murrayi West and West isolated from a meltwater pond on the McMurdo Ice Shelf was grown in unialgal batch cultures to evaluate the temperature dependence of ultraviolet radiation (UVR) effects on pigment composition, growth rate, and photosynthetic characteristics. Chlorophyll a concentrations per unit biomass were generally reduced in cells grown under UVR (low UV-A plus UV-B). In vivo absorbance spectra showed that the carotenoid/chlorophyll a ratio increased as a function of photosynthetically available radiation (PAR) and UVR exposure and varied inversely with temperature. Ultraviolet inhibition of growth (percentage reduction of (mu)(max) at each temperature) increased linearly with decreasing temperature, consistent with the hypothesis that net inhibition represents the balance between temperature-independent photochemical damage and temperature-dependent biosynthetic repair. There was no significant effect of UVR on photosynthesis over the first hour of exposure, but significant UV inhibition was observed after 5 days. Unlike growth, however, there was no apparent effect of temperature on the magnitude of UV inhibition of photosynthesis. These results imply that assays of UVR effects on photosynthesis are not an accurate guide to growth responses and that low ambient temperatures can have a major influence on the UV sensitivity of polar organisms. In a set of assays at 20 degrees C (preacclimation under 300 mu mol photons.m(-2).s(-1) and 20 degrees C), growth was strongly depressed by UVR over the first day of exposure but then gradually increased over the subsequent 4 days, approaching the growth rates in the minus UVR control. This evidence of acquired tolerance indicates that the damaging effects of UVR will be most severe in environments where there is a mismatch between the timescale of change in exposure and the timescale of UV acclimation.</t>
  </si>
  <si>
    <t>Univ Laval, Dept Biol, Ste Foy, PQ G1K 7P4, Canada; Univ Laval, Ctr Etud Nord, Ste Foy, PQ G1K 7P4, Canada</t>
  </si>
  <si>
    <t>Laval University; Laval University</t>
  </si>
  <si>
    <t>Univ Laval, Dept Biol, Ste Foy, PQ G1K 7P4, Canada.</t>
  </si>
  <si>
    <t>warwick.vincent@bio.ulaval.ca</t>
  </si>
  <si>
    <t>Vincent, Warwick/AAH-6152-2019; Vincent, Warwick F/C-9522-2009</t>
  </si>
  <si>
    <t>Vincent, Warwick/0000-0001-9055-1938;</t>
  </si>
  <si>
    <t>10.1046/j.1529-8817.1998.340118.x</t>
  </si>
  <si>
    <t>WOS:000072527700014</t>
  </si>
  <si>
    <t>Nesis, KN; Nigmatullin, CM; Nikitina, IV</t>
  </si>
  <si>
    <t>Spent females of deepwater squid Galiteuthis glacialis under the ice at the surface of the Weddell sea (Antarctic)</t>
  </si>
  <si>
    <t>JOURNAL OF ZOOLOGY</t>
  </si>
  <si>
    <t>squid; Cranchiidae; Galiteuthis glacialis; Antarctica; reproductive system; gelatinous degeneration</t>
  </si>
  <si>
    <t>SOUTHERN ELEPHANT SEAL; CEPHALOPOD PREY; DIOMEDEA-EXULANS; MIROUNGA-LEONINA; SEABIRDS; BIOLOGY; OEGOPSIDA; ISLAND; REGION</t>
  </si>
  <si>
    <t>Two large (dorsal mantle length 42.5 and 47.5 cm), mated spent females of circum-Antarctic bathypelagic cranchiid squid Galiteuthis glacialis were caught early in March 1992 at the surface of the ice hole in the western Weddell Sea over depths 1915-1920 m by the team of the U.S.A.-Russian Ice Station Weddell-L The structure of the reproductive system of adult females is described for the first time in detail. Both were gelatinous, devoid of tentacles, with empty or almost empty stomachs. The empty spermatangia (sperm reservoirs of spermatophores) 30-35 mm in length were distributed in the mantle tissues parallel to the mantle surface and to each other in the dorso-anterior part of the mantle: 13 in one female, parallel to the body axis, and 20 in the other, parallel (13) or perpendicular (7) to the body axis. In the latter case, they represented probably two mating events. The spermatangia lay nearer to the inner than the outer mantle side and opened by a round window on the inner side; the skin with chromatophores above them remained intact. The spermatozoa had one flagellum and rod-like heads, length 5.0-5.3 mu m, width 1.2-1.5 mu m. The most characteristic features are: a very simple type of blood vessel branching making each micro-gonad currant-like, not grape-like; a very compact disposition of oviducal, nidamental glands and gill, forming a united complex located on both sides of the mantle cavity; and an ovary connected by mesentery along all its length with the continuation of the stomach from the caecum to the end of the gastrogenital ligament. Only immature degenerating trophoplasmatic oocytes, length 0.9-1.4, av. 1.0-1.3 mm, were contained in ovaries; only one mature egg (length 3.3 mm, width 2.4-2.5 mm) was found in each female. The absence of oocytes &lt;0.9 mm and 1.5-3.2 mm indicates that the maturation of oocytes proceeds rather synchronously, one large portion of eggs (some tens of thousands) matures in a short time while others degenerate. The residual fecundity is assessed to be approximately 20,000 eggs. It is hypothesized that mating occurs shortly before spawning and that mature males do not undergo gelatinous degeneration and do not lose tentacles. Spermatophores are placed on the inner side of the female's mantle with the aid of the male's tentacles and/or arms (less probably by the penis), but the exact mode of implantation is unclear. Spawning probably occurs at depths of adult habitat (approx. 500-2500 m), may be multiportional but short; the exhausted female loses neutral buoyancy, rises to the surface and dies. Rising to the surface after spawning is a common feature of females of many meso-and bathypelagic squids undergoing gelatinous degeneration during maturation (Onychoteuthidae, Gonatidae, Histioteuthidae, Cranchiidae, etc.) and may explain the common occurrence of large deep-water squids in the stomachs of seabirds, including those incapable of diving, and marine mammals.</t>
  </si>
  <si>
    <t>PP Shirshov Oceanol Inst, Moscow 117218, Russia; Atlantic Res Inst Fisheries &amp; Oceanog, Kaliningrad 236000, Russia</t>
  </si>
  <si>
    <t>Russian Academy of Sciences; Shirshov Institute of Oceanology; Research lnstitute of Fisheries &amp; Oceanography</t>
  </si>
  <si>
    <t>Nesis, KN (corresponding author), PP Shirshov Oceanol Inst, Moscow 117218, Russia.</t>
  </si>
  <si>
    <t>0952-8369</t>
  </si>
  <si>
    <t>1469-7998</t>
  </si>
  <si>
    <t>J ZOOL</t>
  </si>
  <si>
    <t>J. Zool.</t>
  </si>
  <si>
    <t>10.1111/j.1469-7998.1998.tb00024.x</t>
  </si>
  <si>
    <t>ZJ530</t>
  </si>
  <si>
    <t>WOS:000073226000005</t>
  </si>
  <si>
    <t>Cherel, Y; Kooyman, GL</t>
  </si>
  <si>
    <t>Food of emperor penguins (Aptenodytes forsteri) in the western Ross Sea, Antarctica</t>
  </si>
  <si>
    <t>MARINE BIOLOGY</t>
  </si>
  <si>
    <t>EASTERN WEDDELL SEA; DIVING BEHAVIOR; ADELIE PENGUINS; PACK ICE; DIET; SUMMER; CHICKS; ISLAND; LAND; BAY</t>
  </si>
  <si>
    <t>The diet of the emperor penguin Aptenodytes forsteri in the western Ross Sea during spring was investigated by analysis of stomach contents sampled at three different localities. At Cape Washington, emperor penguins feeding chicks consistently preyed on fishes (89 to 95% by mass) and crustaceans (5 to 11%) over the four spring seasons examined. By far the commonest prey was the Antarctic silverfish Pleuragramma antarcticum (89% of the fish prey); the remainder of fish prey were mainly unidentified juveniles of different species of channichthyid fishes. Three species dominated the crustacean part of the diet, i.e. the gammarid amphipods Abyssorchomene rossi/plebs (30% of the crustacean prey) and Eusirus microps (22%), together with the euphausiid Euphausia crystallorophias (24%). At Coulman Island and Cape Roget, fishes, mainly P. antarcticum, formed the bulk of the food (88 and 93% by mass, respectively), crustaceans were minor prey (2.5 and 0.4%), and the squid Psychroteuthis glacialis accounted for a small but significant part of the food (3.5 and 0.8%). This study emphasizes the importance of the small, shoaling pelagic fish Pleuragramma antarcticum as a key link between zooplankton and top predators, including seabirds, in the food web and marine ecosystem of the Ross Sea.</t>
  </si>
  <si>
    <t>Ctr Etud Biol Chize, UPR 4701 CNRS, F-79360 Villiers En Bois, France; Univ Calif San Diego, Scripps Inst Oceanog, Ctr Marine Biotechnol &amp; Biomed, San Diego, CA 92093 USA</t>
  </si>
  <si>
    <t>Cherel, Y (corresponding author), Ctr Etud Biol Chize, UPR 4701 CNRS, F-79360 Villiers En Bois, France.</t>
  </si>
  <si>
    <t>, gerald/0000-0002-8872-2950</t>
  </si>
  <si>
    <t>0025-3162</t>
  </si>
  <si>
    <t>MAR BIOL</t>
  </si>
  <si>
    <t>Mar. Biol.</t>
  </si>
  <si>
    <t>10.1007/s002270050253</t>
  </si>
  <si>
    <t>Marine &amp; Freshwater Biology</t>
  </si>
  <si>
    <t>YY314</t>
  </si>
  <si>
    <t>WOS:000072134700001</t>
  </si>
  <si>
    <t>Carefoot, TH; Harris, M; Taylor, BE; Donovan, D; Karentz, D</t>
  </si>
  <si>
    <t>Mycosporine-like amino acids:: possible UV protection in eggs of the sea hare Aplysia dactylomela</t>
  </si>
  <si>
    <t>SOLAR ULTRAVIOLET-RADIATION; URCHIN STRONGYLOCENTROTUS-DROEBACHIENSIS; ANTARCTIC MARINE ORGANISMS; ULTRA-VIOLET RADIATION; ABSORBING COMPOUNDS; GREEN; REEF; PHOTOADAPTATION; ZOOXANTHELLAE; IRRADIANCE</t>
  </si>
  <si>
    <t>We investigated mycosporine amino acid (MAA) involvement as protective sunscreens in spawn of the sea hare Aplysia dactylomela to determine if adult diet and ultraviolet (UV) exposure affected the UV sensitivity of developing embryos. Adults were fed a red alga rich in MAAs (Acanthophora spicifera) or a green alga poor in MAAs (Ulva lactuca). Adults on each diet were exposed for 2 wk to ambient solar irradiance with two types of acrylic filters; one allowed exposure to wavelengths &gt;275 nm (designated UV) and one to wavelengths only &gt;410 nm (designated NOUV). Spawn from each adult group was likewise treated with UV or NOUV and monitored during development for differences in mortality and metabolic rate (measured as oxygen consumption: (V) over dot(O2)). Also recorded were number of eggs or embryos per capsule, times to hatching, hatching success, size at hatching, and (V) over dot(O2), of adults. Spawn from adults eating red algae was almost twice as rich in MAAs as spawn from adults eating green algae, suggesting that MAA content is diet-related. Although overall quantities of MAAs in the spawn reflected MAA contents of the adult diet, specific MAAs were differentially sequestered in the spawn. Thus, porphyra-334, found in high concentration in Aplysia dactylomela's preferred red algal food, was present in only low concentration in the spawn. Conversely, mycosporine-glycine, in low concentration in red algal food, was the most abundant MAA in the spawn. UV treatment of adults had no effect on quantities of MAAs in the spawn. Adults exposed to UV had significantly higher (V) over dot(O2)'s and spawned twice as often. The UV-treated adults produced spawn with significantly higher (V) over dot(O2)s and their embryos developed to hatching sooner. The only significant effect of UV exposure of the spawn was to reduce the percentage of veligers hatching from 71 to 50%. There was no significant effect on hatching time or size of the veligers at hatching, nor on number of eggs per capsule.</t>
  </si>
  <si>
    <t>Univ British Columbia, Dept Zool, Vancouver, BC V6T 1Z4, Canada; Univ Calif San Francisco, Dept Biol, San Francisco, CA 94117 USA</t>
  </si>
  <si>
    <t>University of British Columbia; University of California System; University of California San Francisco</t>
  </si>
  <si>
    <t>Carefoot, TH (corresponding author), Univ British Columbia, Dept Zool, 6270 Univ Blvd, Vancouver, BC V6T 1Z4, Canada.</t>
  </si>
  <si>
    <t>Harris, Michael B/A-3809-2010; Taylor, Barbara E/A-3840-2010</t>
  </si>
  <si>
    <t>Taylor, Barbara/0000-0003-1635-6194</t>
  </si>
  <si>
    <t>10.1007/s002270050259</t>
  </si>
  <si>
    <t>WOS:000072134700007</t>
  </si>
  <si>
    <t>Kappen, L; Schroeter, B; Green, TGA; Seppelt, RD</t>
  </si>
  <si>
    <t>Chlorophyll a fluorescence and CO2 exchange of Umbilicaria aprina under extreme light stress in the cold</t>
  </si>
  <si>
    <t>OECOLOGIA</t>
  </si>
  <si>
    <t>Umbilicaria aprina; CO2 exchange; chlorophyll a fluorescence; low temperatures; photoinhibition</t>
  </si>
  <si>
    <t>CONTINENTAL ANTARCTIC CRYPTOGAMS; CARBON-DIOXIDE EXCHANGE; ECOPHYSIOLOGICAL INVESTIGATIONS; PHYSIOLOGICAL INVESTIGATIONS; PHOTOSYNTHETIC PRODUCTION; CAROTENOID COMPOSITION; RAMALINA-MACIFORMIS; NET PHOTOSYNTHESIS; EPIPHYTIC LICHENS; WATER RELATIONS</t>
  </si>
  <si>
    <t>A lichen growing in a continental Antarctic region with low temperatures and strong irradiance in summer was investigated for evidence of photoinhibition. Field experiments with Umbilicaria aprina from a sheltered site with heavy snowpack showed no effects of photoinhibition when the lichen was exposed to strong sun irradiance for nearly 11 h a day. This was evident from CO2 exchange and simultaneous chlorophyll a fluorescence measurements. CO2 exchange was also not affected if quartz glass allowing greater UV penetration, was used as a lid for the cuvette. The dependency of net photosynthesis on photosynthetic photon flux density suggests that the lichen is photophilous.</t>
  </si>
  <si>
    <t>Inst Bot, D-24098 Kiel, Germany; Univ Waikato, Hamilton, New Zealand; Australian Antarctic Div, Kingston, Tas, Australia</t>
  </si>
  <si>
    <t>University of Waikato; Australian Antarctic Division</t>
  </si>
  <si>
    <t>Kappen, L (corresponding author), Inst Bot, Olshausenstr 40, D-24098 Kiel, Germany.</t>
  </si>
  <si>
    <t>0029-8549</t>
  </si>
  <si>
    <t>Oecologia</t>
  </si>
  <si>
    <t>10.1007/s004420050383</t>
  </si>
  <si>
    <t>Ecology</t>
  </si>
  <si>
    <t>YW708</t>
  </si>
  <si>
    <t>WOS:000071964600003</t>
  </si>
  <si>
    <t>Weaver, PPE; Carter, L; Neil, HL</t>
  </si>
  <si>
    <t>Response of surface water masses and circulation to late Quaternary climate change east of New Zealand</t>
  </si>
  <si>
    <t>PALEOCEANOGRAPHY</t>
  </si>
  <si>
    <t>ANTARCTIC CIRCUMPOLAR CURRENT; SOUTHERN-OCEAN; SOUTHWEST PACIFIC; CHATHAM RISE; TEMPERATURE; CONVERGENCE; FRONTS</t>
  </si>
  <si>
    <t>A series of cores from east of New Zealand have been examined to determine the Daleoceanographic history of the late Quaternary in the SW Pacific using planktonic foraminiferal data. Distinct shifts of species carl be seen between glacial and interglacial times especially south of Chatham Rise east of South Island. Foraminiferal fragmentation ratios and benthic/planktonic foraminiferal ratios both show increased dissolution during glacials, especially isotope stage 2 to the south of Chatham Rise. The present-day Subtropical Convergence appears to be tied to the Chatham Rise at 44 degrees S, but during glacial times this rise separated cold water to the south from much warmer water to the north, with an associated strong thermal gradient across the rise; We estimate that this gradient could have presented as much as an 8 degrees C temperature change across 4 degrees of latitude during the maximum of the last ice age, There is only weak evidence of the: Younger Dryas cool event, but there is a clear climatic optimum between 8 and 6.4 ka with temperatures 1 degrees-2 degrees C higher than the present day. The marine changes compare well with vegetational changes on both South and North Island.</t>
  </si>
  <si>
    <t>Southampton Oceanog Ctr, Southampton SO14 3ZH, Hants, England; Natl Inst Water &amp; Atmosphere, Wellington, New Zealand</t>
  </si>
  <si>
    <t>University of Southampton; NERC National Oceanography Centre; National Institute of Water &amp; Atmospheric Research (NIWA) - New Zealand</t>
  </si>
  <si>
    <t>Weaver, PPE (corresponding author), Southampton Oceanog Ctr, Empress Dock, Southampton SO14 3ZH, Hants, England.</t>
  </si>
  <si>
    <t>Weaver, Philip/HJZ-2579-2023</t>
  </si>
  <si>
    <t>Weaver, Philip/0000-0002-9541-3830</t>
  </si>
  <si>
    <t>0883-8305</t>
  </si>
  <si>
    <t>Paleoceanography</t>
  </si>
  <si>
    <t>10.1029/97PA02982</t>
  </si>
  <si>
    <t>Geosciences, Multidisciplinary; Oceanography; Paleontology</t>
  </si>
  <si>
    <t>Geology; Oceanography; Paleontology</t>
  </si>
  <si>
    <t>YT897</t>
  </si>
  <si>
    <t>WOS:000071657300008</t>
  </si>
  <si>
    <t>Cantero, ALP</t>
  </si>
  <si>
    <t>Two new Antarctic species of the genus Schizotricha Allman, 1883 (Cnidaria, Hydrozoa)</t>
  </si>
  <si>
    <t>Two new antarctic species of the genus Schizotricha Allman have been studied. The material comes from the Scotia Sea (Antarctica) and was collected by the Spanish antarctic expedition 'Antartida 8611'. Both species are described and figured and the systematic position is discussed. A general survey of the geographical and bathymetrical distribution of the antarctic and subantarctic species of the genus is given. Finally, a key for the identification of the antarctic and subantarctic species of the genus, together with a comparative table including main features, are presented.</t>
  </si>
  <si>
    <t>Univ Valencia, Fac Ciencias Biol, Dept Biol Anim, E-46100 Valencia, Spain</t>
  </si>
  <si>
    <t>University of Valencia</t>
  </si>
  <si>
    <t>Cantero, ALP (corresponding author), Univ Valencia, Fac Ciencias Biol, Dept Biol Anim, Dr Moliner 50, E-46100 Valencia, Spain.</t>
  </si>
  <si>
    <t>Cantero, Álvaro Luis Peña/F-7888-2016</t>
  </si>
  <si>
    <t>Pena Cantero, Alvaro/0000-0003-3056-6673</t>
  </si>
  <si>
    <t>YV522</t>
  </si>
  <si>
    <t>WOS:000071833500001</t>
  </si>
  <si>
    <t>Azmi, OR; Seppelt, RD</t>
  </si>
  <si>
    <t>The broad-scale distribution of microfungi in the Windmill Islands region, continental Antarctica</t>
  </si>
  <si>
    <t>WILKES-LAND; FUNGI; YEAST; SOIL</t>
  </si>
  <si>
    <t>Microfungi were isolated from soils, mosses, algae and lichens in the Windmill Islands region of Antarctica. From a total of 1,228 isolates, 22 genera were identified. The most frequently isolated fungi from mosses were Mycelia sterilia (47% of total isolates), Phoma spp. (18%), Penicillium spp. (11%), Chrysosporium spp. (7%) and Thelebolus microsporus (6%). Mycelia sterilia, Penicillium spp., Mortierella spp., Chrysosporium cf. pannorum and Thelebolus microsporus were also frequently isolated from algae. Fungal distribution and diversity were poor in samples of lichens, compared to samples from mosses and algae. The frequency of occurrence of microfungi was most often associated with strong biotic influence. There was a marked increase in fungal diversity in human-disturbed sites. Twelve taxa were restricted to soils from near the Australian Casey Station, suggesting significant introduction of fungi into this environment by human activities. Away from the station, fungal distribution appeared to be related to substrata and nutrient status rather than dispersal opportunities. Suggestions for future research and the need for constant monitoring to clarify the role of human disturbance on Antarctic fungi are discussed.</t>
  </si>
  <si>
    <t>Seppelt, RD (corresponding author), Australian Antarctic Div, Channel Highway, Kingston, Tas 7050, Australia.</t>
  </si>
  <si>
    <t>10.1007/s003000050219</t>
  </si>
  <si>
    <t>WOS:000071833500003</t>
  </si>
  <si>
    <t>Microclimatic conditions, meltwater moistening, and the distributional pattern of Buellia frigida on rock in a southern continental Antarctic habitat</t>
  </si>
  <si>
    <t>CARBON-DIOXIDE EXCHANGE; ECOPHYSIOLOGICAL INVESTIGATIONS; FIELD-MEASUREMENTS; VICTORIA-LAND; NEGEV DESERT; ROSS DESERT; KAR PLATEAU; LICHENS; WATER; PRODUCTIVITY</t>
  </si>
  <si>
    <t>The importance of snowmelt as a source of moisture for the crustose lichen Buellia frigida in the early austral summer was investigated at Cape Geology, Granite Harbour, southern Victoria Land (77 degrees 01'S, 162 degrees 32'E). Surface and air temperatures and irradiance were recorded on the surface of a slightly inclined granite boulder for 5 weeks. Observations were made of lichen thallus hydration during a 5-day period. The results confirmed the strong warming effect of high irradiance; the rock surface and hydrated lichen were up to 19K above air temperature and, overall, the rock surface averaged 5.5K warmer. Therefore water condensation on the rock surface (dew or hoarfrost) was not possible during that period. Thalli were moistened by meltwater from both a small area of snow pack and from occasional snowfalls. The distribution of lichen thalli on the rock surface can be explained by the frequency and duration of meltwater moistening. Despite the very high irradiance whilst moist, the lichens seem well adapted to the combination of hydration, low temperatures and strong light.</t>
  </si>
  <si>
    <t>Univ Kiel, Inst Bot, D-24098 Kiel, Germany; Univ Waikato, Hamilton, New Zealand; Australian Antarctic Div, Kingston, Tas, Australia</t>
  </si>
  <si>
    <t>University of Kiel; University of Waikato; Australian Antarctic Division</t>
  </si>
  <si>
    <t>Kappen, L (corresponding author), Univ Kiel, Inst Polarokol, Wischhofstr 1-3, D-24148 Kiel, Germany.</t>
  </si>
  <si>
    <t>10.1007/s003000050220</t>
  </si>
  <si>
    <t>WOS:000071833500004</t>
  </si>
  <si>
    <t>Mataloni, G; Tesolin, G; Tell, G</t>
  </si>
  <si>
    <t>Characterization of a small eutrophic Antarctic lake (Otero Lake, Cierva Point) on the basis of algal assemblages and water chemistry</t>
  </si>
  <si>
    <t>HOPE BAY; PHYTOPLANKTON; PENINSULA; ISLAND</t>
  </si>
  <si>
    <t>Otero Lake is the main water body of Cierva Point, Dance Coast (SSSI No. 15). During the 1992/1993 and 1994/1995 seasons, abiotic parameters and the structure and dynamics of the phytoplankton were studied. Algal assemblages from the phytoplankton, from algal clumps encased in the lake ice and from the benthic algal felt were compared. Low Jaccard similarity indices between these three assemblages suggest different survival strategies. The higher species richness of phytoplankton when studied during the whole summer also suggests that external propagule inputs can heavily influence the structure of this community. High levels of phosphate, nitrate and ammonium throughout the study periods indicate that they do not limit summer growth of the phytoplankton community. Blooms of Chlamydomonas subcaudata Wille are apparently characteristic. This group of features define Otero Lake as a highly eutrophic water body, in which outflow seems to be the main cause of phytoplankton loss during summer.</t>
  </si>
  <si>
    <t>Univ Buenos Aires, Fac Ciencias Exactas &amp; Nat, Dept Ciencias Biol, RA-1428 Buenos Aires, DF, Argentina</t>
  </si>
  <si>
    <t>Mataloni, G (corresponding author), Univ Buenos Aires, Fac Ciencias Exactas &amp; Nat, Dept Ciencias Biol, Pab 2-C Univ, RA-1428 Buenos Aires, DF, Argentina.</t>
  </si>
  <si>
    <t>Mataloni, Gabriela/0000-0002-6852-6143</t>
  </si>
  <si>
    <t>10.1007/s003000050221</t>
  </si>
  <si>
    <t>WOS:000071833500005</t>
  </si>
  <si>
    <t>Gomez, I; Wiencke, C</t>
  </si>
  <si>
    <t>Seasonal changes in C, N and major organic compounds and their significance to morpho-functional processes in the endemic Antarctic brown alga Ascoseira mirabilis</t>
  </si>
  <si>
    <t>KING-GEORGE-ISLAND; LONG-TERM CULTURE; LAMINARIA-SOLIDUNGULA; MARINE MACROALGAE; PHOTOSYNTHETIC CHARACTERISTICS; SACCHARINA PHAEOPHYTA; LONGITUDINAL PROFILES; MACROCYSTIS-PYRIFERA; CARBON BUDGET; GROWTH</t>
  </si>
  <si>
    <t>The seasonal and intra-thallus variations in the contents of C, N, proteins and amino acids, as well as in the storage carbohydrates mannitol and laminaran, were measured in the endemic Antarctic brown alga Ascoseira mirabilis between September and February and related to seasonal changes in dark respiration and photosynthesis. Carbon contents between 31 and 37% DW were relatively constant throughout these months and no variations were detected among thallus regions. Nitrogen contents, by contrast, were higher in September/October (3.1% DW) and decreased in January and February (1.8% DW). In general, the basal regions had the lower N contents. Proteins reached maximum values of 13% DW in November and February and were inversely correlated to photosynthesis (net P-max). The amino acid content was also higher in October and November (maxima close to 10% DW), but low between December and February (close to 5% DW), probably related to a seasonal pattern of N allocation in the alga. The storage carbohydrates mannitol and laminaran exhibited inverse seasonal changes: low mannitol values close to 5% DW in September were coupled with high laminaran contents varying between 7 and 15% DW. The existence of high laminaran contents in the distal blade region during September and February suggests that this compound was effectively accumulated in this region. The low P/R ratios in spring and the existence of a significant relationship between mannitol content and seasonal photosynthetic activity in the basal region appear to support the hypothesis of a possible utilization of carbohydrates to power growth in A. mirabilis.</t>
  </si>
  <si>
    <t>Alfred Wegener Inst Polar &amp; Marine Res, D-27515 Bremerhaven, Germany</t>
  </si>
  <si>
    <t>Wiencke, C (corresponding author), Alfred Wegener Inst Polar &amp; Marine Res, Handelshafen 12, D-27515 Bremerhaven, Germany.</t>
  </si>
  <si>
    <t>10.1007/s003000050222</t>
  </si>
  <si>
    <t>WOS:000071833500006</t>
  </si>
  <si>
    <t>Ward, P; Shreeve, R</t>
  </si>
  <si>
    <t>Egg hatching times of Antarctic copepods</t>
  </si>
  <si>
    <t>LIFE-CYCLE STRATEGIES; CALANUS-SIMILLIMUS; RHINCALANUS-GIGAS; TEMPERATURE; RECRUITMENT; SURVIVAL; SUMMER; RATES; SEA</t>
  </si>
  <si>
    <t>Egg hatching times were determined at a range of temperatures for four species of commonly occurring Antarctic copepods. At a given temperature the eggs of Rhincalanus gigas took longest to hatch, up to 9 days at 0 degrees C, followed by those of Calanoides acutus, Calanus propinquus and Calanus simillimus. A Belehradeks temperature function with the parameter b fixed at -2.05 accounted for &gt; 95% of the variance for each species. There was an approximate doubling in hatching times between 5 degrees C and 0 degrees C for R. gigas and for the other species the increase in embryonic duration was 40-50% at the lower temperature.</t>
  </si>
  <si>
    <t>British Antarctic Survey, NERC, High Cross Site,Madingley Rd, Cambridge CB3 0ET, England.</t>
  </si>
  <si>
    <t>PWAR@pcmail.nerc-bas.ac.uk</t>
  </si>
  <si>
    <t>10.1007/s003000050225</t>
  </si>
  <si>
    <t>WOS:000071833500009</t>
  </si>
  <si>
    <t>Reid, K; Measures, J</t>
  </si>
  <si>
    <t>Determining the sex of Antarctic krill Euphausia superba using carapace measurements</t>
  </si>
  <si>
    <t>SEALS ARCTOCEPHALUS-GAZELLA; SOUTH GEORGIA; SAMPLES; CAUGHT; DANA; NETS; DIET</t>
  </si>
  <si>
    <t>A discriminant function using simple carapace measurements corretly determined the sex of 87% of male and 89% of female Antarctic krill Euphausia superba. This facilitated the use of sex-specific regression models which increased the accuracy of total length estimates.</t>
  </si>
  <si>
    <t>Reid, K (corresponding author), British Antarctic Survey, NERC, High Cross,Madingley Rd, Cambridge CB3 0ET, England.</t>
  </si>
  <si>
    <t>10.1007/s003000050226</t>
  </si>
  <si>
    <t>WOS:000071833500010</t>
  </si>
  <si>
    <t>Gibson, JAE; Dartnall, HJG; Swadling, KM</t>
  </si>
  <si>
    <t>On the occurrence of males and production of ephippial eggs in populations of Daphniopsis studeri (Cladocera) in lakes of the Vestfold and Larsemann hills, east Antarctica</t>
  </si>
  <si>
    <t>Populations of the cladoceran Daphniopsis studeri Ruhe in freshwater and brackish lakes of eastern Antarctica have been thought to consist solely of females that reproduce parthenogenetically by the production of ameiotic subitaneous eggs. This note reports the presence of male D. studeri and the production of ephippial (sexual) eggs in a number of lakes of the Vestfold and Larsemann Hills, which indicate the possibility of sexual reproduction within these populations.</t>
  </si>
  <si>
    <t>Univ Laval, Dept Biol, Ste Foy, PQ G1K 7P4, Canada; Australian Antarctic Div, Kingston, Tas 7050, Australia; Copper Beeches, Ditchling BN6 8TY, Sussex, England; Univ Tasmania, Dept Zool, Hobart, Tas 7001, Australia</t>
  </si>
  <si>
    <t>Laval University; Australian Antarctic Division; University of Tasmania</t>
  </si>
  <si>
    <t>Gibson, JAE (corresponding author), Univ Laval, Dept Biol, Ste Foy, PQ G1K 7P4, Canada.</t>
  </si>
  <si>
    <t>john.gibson@etu.bio.ulaval.ca</t>
  </si>
  <si>
    <t>Swadling, Kerrie/0000-0002-7620-841X</t>
  </si>
  <si>
    <t>10.1007/s003000050227</t>
  </si>
  <si>
    <t>Green Submitted, Green Accepted</t>
  </si>
  <si>
    <t>WOS:000071833500011</t>
  </si>
  <si>
    <t>Peat, HJ</t>
  </si>
  <si>
    <t>The Antarctic Plant Database: a specimen and literature based information system</t>
  </si>
  <si>
    <t>TAXON</t>
  </si>
  <si>
    <t>The British Antarctic Survey's Antarctic Plant Database holds over 50,000 herbarium records for Antarctic and sub-Antarctic flowering plants and cryptogams held in herbaria world-wide. In addition, it holds information on species occurrences recorded in the literature for southern polar regions and synonymy indexes for relevant species. The database has been linked to a geographic information system, which can aid record validation and resource management as well as the study of species distributions and biodiversity.</t>
  </si>
  <si>
    <t>Peat, HJ (corresponding author), British Antarctic Survey, NERC, High Cross,Madingley Rd, Cambridge CB3 0ET, England.</t>
  </si>
  <si>
    <t>Peat, Helen J/E-9666-2015</t>
  </si>
  <si>
    <t>Peat, Helen/0000-0003-2017-8597</t>
  </si>
  <si>
    <t>INT ASSOC PLANT TAXONOMY</t>
  </si>
  <si>
    <t>BOTANISCHER GARTEN BOTANISCHES MUSEUM BERLIN-DAHLEM, KONIGIN-LUISE-STRABE 6-8, D-14191 BERLIN, GERMANY</t>
  </si>
  <si>
    <t>0040-0262</t>
  </si>
  <si>
    <t>Taxon</t>
  </si>
  <si>
    <t>10.2307/1224022</t>
  </si>
  <si>
    <t>Plant Sciences; Evolutionary Biology</t>
  </si>
  <si>
    <t>ZA076</t>
  </si>
  <si>
    <t>WOS:000072326500008</t>
  </si>
  <si>
    <t>Wessel, S; Aoki, S; Winkler, P; Weller, R; Herber, A; Gernandt, H; Schrems, O</t>
  </si>
  <si>
    <t>Tropospheric ozone depletion in polar regions - A comparison of observations in the Arctic and Antarctic</t>
  </si>
  <si>
    <t>TELLUS SERIES B-CHEMICAL AND PHYSICAL METEOROLOGY</t>
  </si>
  <si>
    <t>LAYER OZONE; BROMINE; SUNRISE; DESTRUCTION; RELEASE; SEA</t>
  </si>
  <si>
    <t>The dynamics of tropospheric ozone variations in the Arctic (Ny-Alesund, Spitsbergen, 79 degrees N, 12 degrees E) and in Antarctica (Neumayer-Station, 70 degrees S, 8 degrees W) were investigated for the period January 1993 to June 1994. Continuous surface ozone measurements, vertical profiles of tropospheric ozone by ECC-sondes, meteorological parameters, trajectories as well as ice charts were available for analysis. Information about the origins of the advected air masses were derived from 5-days back-trajectory analyses. Seven tropospheric ozone minima were observed at Ny-Alesund in the period from March to June 1994, during which the surface ozone mixing ratios decreased from typical background concentrations around 40 ppbv to values between 1 ppbv and 17 ppbv (1 ppbv O-3 corresponds to one part of O-3 in 10(9) parts of ambient air by volume). Four surface ozone minima were detected in August and September 1993 at Neumayer-Station with absolute ozone mixing ratios between 8 ppbv and 14 ppbv throughout the minima. At both measuring stations, the ozone minima were detected during polar spring. They covered periods between 1 and 4 days (Arctic) and 1 and 2 days (Antarctica), respectively. Furthermore, it was found that in both polar regions, the ozone depletion events were confined to the planetary boundary layer with a capping temperature inversion at the upper limit of the ozone poor air mass. Inside this ozone-poor layer, a stable stratification was obvious. Back-trajectory analyses revealed that the ozone-depleted air masses were transported across the marine, ice-covered regions of the central Arctic and the South Atlantic Ocean. These comparable observations in both polar regions suggest a similar ozone destruction mechanism which is responsible for an efficient ozone decay. Nevertheless, distinct differences could be found regarding the vertical structure of the ozone depleted layers. In the Arctic, the ozone-poor layer developed from the surface up to a temperature inversion, whereas in the Antarctic, elevated ozone-depleted air masses due to the influence of catabatic surface winds, were observed.</t>
  </si>
  <si>
    <t>Alfred Wegener Inst Polar &amp; Marine Res, Res Dept, Potsdam, Germany; Deutscher Wetterdienst, Hohenpeissenberg, Germany; Tohoku Univ, Ctr Atmospher &amp; Ocean Studies, Sendai, Miyagi 980, Japan; Alfred Wegener Inst Polar &amp; Marine Res, D-2850 Bremerhaven, Germany</t>
  </si>
  <si>
    <t>Helmholtz Association; Alfred Wegener Institute, Helmholtz Centre for Polar &amp; Marine Research; Deutscher Wetterdienst; Tohoku University; Helmholtz Association; Alfred Wegener Institute, Helmholtz Centre for Polar &amp; Marine Research</t>
  </si>
  <si>
    <t>Wessel, S (corresponding author), Alfred Wegener Inst Polar &amp; Marine Res, Res Dept, Potsdam, Germany.</t>
  </si>
  <si>
    <t>MUNKSGAARD INT PUBL LTD</t>
  </si>
  <si>
    <t>COPENHAGEN</t>
  </si>
  <si>
    <t>35 NORRE SOGADE, PO BOX 2148, DK-1016 COPENHAGEN, DENMARK</t>
  </si>
  <si>
    <t>0280-6509</t>
  </si>
  <si>
    <t>TELLUS B</t>
  </si>
  <si>
    <t>Tellus Ser. B-Chem. Phys. Meteorol.</t>
  </si>
  <si>
    <t>10.1034/j.1600-0889.1998.00003.x</t>
  </si>
  <si>
    <t>YY392</t>
  </si>
  <si>
    <t>WOS:000072142500003</t>
  </si>
  <si>
    <t>Bick, A</t>
  </si>
  <si>
    <t>Microphthalmus antarcticus sp.n., (Polychaeta, Phyllodocida, Hesionidae) from intertidal coastal areas of King George Island, South Shetlands, Antarctica, with a description of the neuropodial setation of further Microphthalmus species</t>
  </si>
  <si>
    <t>ZOOLOGISCHER ANZEIGER</t>
  </si>
  <si>
    <t>setae; morphology; taxonomy</t>
  </si>
  <si>
    <t>Microphthalmus antarcticus n. sp. is described from intertidal coastal areas of the South Shetlands. This discovery in the Antarctic confirms the worldwide distribution of the genus. The species is described in detail, special importance being attached to the description of the neuropodial setation. The male copulatory stylets, particularly important for systematics, are additionally described. The species is compared with other species of the genus. The neuropodial setation of five further species is described. The number of compound setae and the length and structure of their blades can be important features, allowing differentiation between closely similar species. However, it should be noted that there is some size-dependent variability. The morphological description is augmented by a few data relating to population composition and reproduction.</t>
  </si>
  <si>
    <t>Univ Rostock, FB Biol Allgemeine &amp; Spezielle Zool, D-18051 Rostock, Germany</t>
  </si>
  <si>
    <t>University of Rostock</t>
  </si>
  <si>
    <t>Bick, A (corresponding author), Univ Rostock, FB Biol Allgemeine &amp; Spezielle Zool, Univ Pl 5, D-18051 Rostock, Germany.</t>
  </si>
  <si>
    <t>GUSTAV FISCHER VERLAG</t>
  </si>
  <si>
    <t>JENA</t>
  </si>
  <si>
    <t>VILLENGANG 2, D-07745 JENA, GERMANY</t>
  </si>
  <si>
    <t>0044-5231</t>
  </si>
  <si>
    <t>ZOOL ANZ</t>
  </si>
  <si>
    <t>Zool. Anz.</t>
  </si>
  <si>
    <t>ZB861</t>
  </si>
  <si>
    <t>WOS:000072515400005</t>
  </si>
  <si>
    <t>Bindschadler, R; Vornberger, P</t>
  </si>
  <si>
    <t>Changes in the West Antarctic ice sheet since 1963 from declassified satellite photography</t>
  </si>
  <si>
    <t>STREAM-C; STAGNATION</t>
  </si>
  <si>
    <t>Comparison of declassified satellite photography taken in 1963 with more recent satellite imagery reveals that large changes have occurred in the region where an active ice stream enters the Ross Ice Shelf. Ice stream B has widened by 4 kilometers, at a rate much faster than suggested by models, and has decreased in speed by 50 percent. The ice ridge between ice streams B and C has eroded 14 kilometers. These changes, along with changes in the crevassing around Crary Ice Rise, imply that this region's velocity field shifted during this century.</t>
  </si>
  <si>
    <t>NASA, Goddard Space Flight Ctr, Greenbelt, MD 20771 USA; Gen Sci Corp, Laurel, MD 20727 USA</t>
  </si>
  <si>
    <t>National Aeronautics &amp; Space Administration (NASA); NASA Goddard Space Flight Center</t>
  </si>
  <si>
    <t>NASA, Goddard Space Flight Ctr, Code 971, Greenbelt, MD 20771 USA.</t>
  </si>
  <si>
    <t>JAN 30</t>
  </si>
  <si>
    <t>10.1126/science.279.5351.689</t>
  </si>
  <si>
    <t>YU574</t>
  </si>
  <si>
    <t>WOS:000071731500032</t>
  </si>
  <si>
    <t>Rocchi, S; Tonarini, S; Armienti, P; Innocenti, F; Manetti, P</t>
  </si>
  <si>
    <t>Geochemical and isotopic structure of the early Palaeozoic active margin of Gondwana in northern Victoria Land, Antarctica</t>
  </si>
  <si>
    <t>TECTONOPHYSICS</t>
  </si>
  <si>
    <t>Antarctica; continental margin; Gondwana; isotope geology; Sr-Nd isotopes</t>
  </si>
  <si>
    <t>CENTRAL TRANSANTARCTIC MOUNTAINS; WESTERN UNITED-STATES; CRUSTAL STRUCTURE; ROSS OROGEN; TECTONICS; EVOLUTION; AUSTRALIA; LAURENTIA; AGES; SUPERCONTINENT</t>
  </si>
  <si>
    <t>The regional distribution of geochemical and isotopic compositions of granitoid rocks from a Gondwana continental margin is studied to highlight its structure and geodynamic evolution. The intrusive rocks emplaced during the early Palaeozoic Ross Orogeny in northern Victoria Land (Antarctica) constitute a high-K calc-alkaline association. The geographic patterns of isotope and geochemical data on granitoid rocks allow the distinction of two portions of the continental margin, separated by a sharp discontinuity. The portion towards the palaeo-Pacific Ocean (Oceanward Side) displays strongly regular inland increase of Sr-and decrease of Nd-isotope ratios, coupled with analogous variations in major and trace elements; on this basis we infer a NW-SE-trending margin affected by SW-directed subduction. The portion towards the East Antarctic Craton (Continentward Side) shows a similar regular variation only for Nd isotope compositions, consistent with a hypothesis of a N-S-striking margin with west-ward subduction. In the Oceanward suggest that the granites were generated by extensive interaction of Side, isotope and trace-element characteristics suggest that the granites were generated by extensive interaction of mantle-derived magmas with high-level crustal melts. The origin of Continentward Side intrusives is compatible with a process of interaction between mantle-derived melts and a mafic granulite lower crust. The granitoids of the two crustal sectors share the same Proterozoic Sm-Nd model ages, suggesting that they both belong to the same crustal province. We interpret this arrangement of crustal segments as due to the shift and rotation of a forearc sliver of the Gondwana margin, This movement was likely enhanced by oblique subduction under an irregular margin weakened by the presence of a magmatic are. (C) 1998 Elsevier Science B.V. All rights reserved.</t>
  </si>
  <si>
    <t>Univ Pisa, Dipartimento Sci Terra, I-56126 Pisa, Italy; CNR, Ist Geocronol &amp; Geochim Isotop, I-56127 Pisa, Italy; Univ Florence, Dipartimento Sci Terra, I-50121 Florence, Italy</t>
  </si>
  <si>
    <t>University of Pisa; Consiglio Nazionale delle Ricerche (CNR); University of Florence</t>
  </si>
  <si>
    <t>Rocchi, S (corresponding author), Univ Pisa, Dipartimento Sci Terra, Via S Maria 53, I-56126 Pisa, Italy.</t>
  </si>
  <si>
    <t>rocchi@dst.unipi.it</t>
  </si>
  <si>
    <t>Rocchi, Sergio/A-7752-2018</t>
  </si>
  <si>
    <t>Rocchi, Sergio/0000-0001-6868-1939; Armienti, Pietro/0000-0002-5929-8222</t>
  </si>
  <si>
    <t>0040-1951</t>
  </si>
  <si>
    <t>Tectonophysics</t>
  </si>
  <si>
    <t>10.1016/S0040-1951(97)00178-9</t>
  </si>
  <si>
    <t>YZ630</t>
  </si>
  <si>
    <t>WOS:000072273300006</t>
  </si>
  <si>
    <t>Krasnopoler, A; George, SM</t>
  </si>
  <si>
    <t>Infrared resonant desorption of H2O from ice multilayers</t>
  </si>
  <si>
    <t>JOURNAL OF PHYSICAL CHEMISTRY B</t>
  </si>
  <si>
    <t>DYNAMIC OPTICAL-PROPERTIES; YAG LASER ABLATION; ANTARCTIC OZONE; DEPLETION; CONSTANTS; SURFACES; TISSUE; WATER; CO2</t>
  </si>
  <si>
    <t>The resonant desorption of H2O from ice multilayers was studied using a train of picosecond pulses from an infrared free electron laser. The infrared light was used to excite the O-H stretching vibration in H2O in the ice multilayers and to cause H2O resonant desorption. The H2O resonant desorption spectrum was measured at infrared wavelengths between lambda = 2.8 mu m and lambda = 3.4 mu m. The peak H2O desorption yield occurred at lambda = 3.0 mu m. The H2O resonant desorption spectrum was substantially enhanced relative to the infrared absorption spectrum of ice at infrared wavelengths shorter than lambda similar to 3.1 mu m. This enhancement was attributed to the melting of the ice film prior to H2O desorption and the temperature-dependent absorption coefficient of the O-H stretching vibration. The H2O desorption yields from 1 and 5 mu m thick films were also measured at lambda = 2.94 mu m and lambda = 3.09 mu m for successive infrared pulses and versus pulse energy. The results were consistent with the melting of the ice film and the expected optical penetration depths in liquid water. Model calculations were in qualitative agreement with these experimental results and predicted H2O desorption from a liquid H2O film.</t>
  </si>
  <si>
    <t>Univ Colorado, Dept Chem &amp; Biochem, Boulder, CO 80309 USA; Duke Univ, Duke Free Electron Laser Lab, Durham, NC 27708 USA</t>
  </si>
  <si>
    <t>University of Colorado System; University of Colorado Boulder; Duke University</t>
  </si>
  <si>
    <t>George, SM (corresponding author), Univ Colorado, Dept Chem &amp; Biochem, Campus Box 215, Boulder, CO 80309 USA.</t>
  </si>
  <si>
    <t>1520-6106</t>
  </si>
  <si>
    <t>J PHYS CHEM B</t>
  </si>
  <si>
    <t>J. Phys. Chem. B</t>
  </si>
  <si>
    <t>JAN 29</t>
  </si>
  <si>
    <t>10.1021/jp972016q</t>
  </si>
  <si>
    <t>YV450</t>
  </si>
  <si>
    <t>WOS:000071825400006</t>
  </si>
  <si>
    <t>Mori, Y</t>
  </si>
  <si>
    <t>The optimal patch use in divers: Optimal time budget and the number of dive cycles during bout</t>
  </si>
  <si>
    <t>JOURNAL OF THEORETICAL BIOLOGY</t>
  </si>
  <si>
    <t>ANTARCTIC FUR SEALS; DIVING BEHAVIOR; FORAGING BEHAVIOR; ADELIE PENGUINS; OPTIMAL ALLOCATION; KING PENGUINS; PERFORMANCE; PATTERNS; PATHWAYS; POCHARD</t>
  </si>
  <si>
    <t>Diving animals feeding on patchily distributed prey repeat dives with short surface intervals. For optimal foraging, they must optimally organize both the time budget and the number of dive cycles at a given patch. The cost of time and energy consumption per dive cycle is strongly affected by the respiratory metabolism used during dive because energetically efficient aerobic diving allows only a brief foraging duration during a dive whereas inefficient anaerobic diving allows a long foraging duration. I develop a model that predicts the effects of prey patch type on the optimal combination of time budget and the number of dive cycles by using the marginal value theorem. General features of the results are: (1) using anaerobic metabolism increases the range of prey patch types worth using in the habitat. (2) Anaerobic metabolism is favorable when the prey patch quality is high, the prey patch is situated in deep water, and the prey patch is hard to find, although the last one is not a strong condition. (3) When only aerobic diving is favorable, the time budget of the dive cycle is little affected by patch quality, but when anaerobic diving is favorable, it is strongly affected by patch quality. It is affected by patch depth in both cases. (4) When a dive bout is composed of many dive cycles, the dive duration and surface interval of the dive cycle are short. When long dive duration with long surface interval is optimal, the optimal number of dive cycles during the bout is small.</t>
  </si>
  <si>
    <t>Kyoto Univ, Fac Sci, Dept Zool, Kyoto 6068502, Japan</t>
  </si>
  <si>
    <t>Kyoto University</t>
  </si>
  <si>
    <t>Mori, Y (corresponding author), Kyoto Univ, Fac Sci, Dept Zool, Kyoto 6068502, Japan.</t>
  </si>
  <si>
    <t>yosihisa@zoo.zool.kyoto-u.ac.jp</t>
  </si>
  <si>
    <t>0022-5193</t>
  </si>
  <si>
    <t>1095-8541</t>
  </si>
  <si>
    <t>J THEOR BIOL</t>
  </si>
  <si>
    <t>J. Theor. Biol.</t>
  </si>
  <si>
    <t>JAN 21</t>
  </si>
  <si>
    <t>10.1006/jtbi.1997.0550</t>
  </si>
  <si>
    <t>Biology; Mathematical &amp; Computational Biology</t>
  </si>
  <si>
    <t>Life Sciences &amp; Biomedicine - Other Topics; Mathematical &amp; Computational Biology</t>
  </si>
  <si>
    <t>YZ287</t>
  </si>
  <si>
    <t>WOS:000072239300007</t>
  </si>
  <si>
    <t>Wamsley, PR; Elkins, JW; Fahey, DW; Dutton, GS; Volk, CM; Myers, RC; Montzka, SA; Butler, JH; Clarke, AD; Fraser, PJ; Steele, LP; Lucarelli, MP; Atlas, EL; Schauffler, SM; Blake, DR; Rowland, FS; Sturges, WT; Lee, JM; Penkett, SA; Engel, A; Stimpfle, RM; Chan, KR; Weisenstein, DK; Ko, MKW; Salawitch, RJ</t>
  </si>
  <si>
    <t>Distribution of halon-1211 in the upper troposphere and lower stratosphere and the 1994 total bromine budget</t>
  </si>
  <si>
    <t>IN-SITU MEASUREMENTS; NEAR-ULTRAVIOLET SPECTROSCOPY; ATMOSPHERIC CH3BR; MCMURDO STATION; ANTARCTIC OZONE; METHYL-BROMIDE; BRO; CHLORINE; AIR; RADICALS</t>
  </si>
  <si>
    <t>We report here on the details of the first, in situ, real-time measurements of H-1211 (CBrClF2) and sulfur hexafluoride (SF6) mixing ratios in the stratosphere up to 20 km. Stratospheric air was analyzed for these gases and others with a new gas chromatograph, flown aboard a National Aeronautics and Space Administration ER-2 aircraft as part of the Airborne Southern Hemisphere Ozone Experiment/Measurements for Assessing the Effects of Stratospheric Aircraft mission conducted in 1994. The mixing ratio of SF6, with its nearly linear increase in the troposphere, was used to estimate the mean age of stratospheric air parcels along the EK-2 flight path. Measurements of H-1211 and mean age estimates were then combined with simultaneous measurements of CFC-11 (CCl3F), measurements of brominated compounds in stratospheric whole air samples, and records of tropospheric organic bromine mixing ratios to calculate the dry mixing ratio of total bromine in the lower stratosphere and its partitioning between organic and inorganic forms. We estimate that the organic bromine-containing species were almost completely photolyzed to inorganic species in the oldest air parcels sampled. Our results for inorganic bromine are consistent with those obtained from a photochemical, steady state model for stratospheric air parcels with CFC-11 mixing ratios greater than 150 ppt. For stratospheric air parcels with CFC-11 mixing ratios less than 50 ppt (mean age greater than or equal to 5 years) we calculate inorganic bromine mixing ratios that are approximately 20% less than the photochemical, steady state model. There is a 20% reduction in calculated ozone loss resulting from bromine chemistry in old air relative to some previous estimates as a result of the lower bromine levels.</t>
  </si>
  <si>
    <t>NOAA, Climate Monitoring &amp; Diagnost Lab, Boulder, CO 80303 USA; Univ Calif Irvine, Dept Chem, Irvine, CA 92717 USA; NASA, Ames Res Ctr, Moffett Field, CA 94035 USA; NOAA, Aeron Lab, Boulder, CO 80303 USA; Atmospher &amp; Environm Res Inc, Cambridge, MA 02139 USA; Univ E Anglia, Sch Environm Sci, Norwich NR4 7TJ, Norfolk, England; CALTECH, Jet Prop Lab, Pasadena, CA 91109 USA; Harvard Univ, Dept Chem, Cambridge, MA 02138 USA; Univ Colorado, NOAA, Cooperat Inst Res Environm Sci, Boulder, CO 80309 USA; Monash Univ, Cooperat Res Ctr So Hemisphere Meteorol, Clayton, Vic 3168, Australia; CSIRO, Aspendale, Vic 3195, Australia; Forschungszentrum Julich, Inst Stratosphar Chem, Julich, Germany; Natl Ctr Atmospher Res, Boulder, CO 80307 USA</t>
  </si>
  <si>
    <t>National Oceanic Atmospheric Admin (NOAA) - USA; University of California System; University of California Irvine; National Aeronautics &amp; Space Administration (NASA); NASA Ames Research Center; National Oceanic Atmospheric Admin (NOAA) - USA; Atmospheric &amp; Environmental Research; University of East Anglia; National Aeronautics &amp; Space Administration (NASA); NASA Jet Propulsion Laboratory (JPL); California Institute of Technology; Harvard University; National Oceanic Atmospheric Admin (NOAA) - USA; University of Colorado System; University of Colorado Boulder; Monash University; Commonwealth Scientific &amp; Industrial Research Organisation (CSIRO); Helmholtz Association; Research Center Julich; National Center Atmospheric Research (NCAR) - USA</t>
  </si>
  <si>
    <t>NOAA, Climate Monitoring &amp; Diagnost Lab, Boulder, CO 80303 USA.</t>
  </si>
  <si>
    <t>paulaw@ophir.com; jelkins@cmdl.noaa.gov; dfahey@al.noaa.gov; m.volk@meteor.uni-frankfurt.de; jbutlter@cmdl.noaa.gov; pjf@atmos.dar.csiro.au; lps@atmos.dar.csiro.au; atlas@acd.ucar.edu; sues@acd.ucar.edu; dblake@onion.oac.uci.edu; rowland@uci.edu; w.sturges@uea.ac.uk; julial@ucar.edu; mpenkett@uea.ac.uk; An.Engel@meteor.uni-frankfurt.de; stimpfle@huarpl.harvard.edu; roland_chan@qmgate.arc.nasa.gov; weisenstein@aer.com; ko@aer.com; rjs@casear.jpl.gov</t>
  </si>
  <si>
    <t>Atlas, Elliot/AAE-4605-2021; Dutton, Geoffrey Scott/V-9977-2019; Atlas, Elliot/J-8171-2015; Salawitch, Ross/B-4605-2009; montzka, stephen/V-6162-2019; Ko, Malcolm/D-5898-2015; Steele, Paul/B-3185-2009; Fraser, Paul J. B./D-1755-2012; Fahey, David/G-4499-2013; Engel, Andreas/E-3100-2014</t>
  </si>
  <si>
    <t>Dutton, Geoffrey Scott/0000-0001-7777-9268; montzka, stephen/0000-0002-9396-0400; Fahey, David/0000-0003-1720-0634; Engel, Andreas/0000-0003-0557-3935</t>
  </si>
  <si>
    <t>2169-8996</t>
  </si>
  <si>
    <t>JAN 20</t>
  </si>
  <si>
    <t>D1</t>
  </si>
  <si>
    <t>10.1029/97JD02466</t>
  </si>
  <si>
    <t>YR851</t>
  </si>
  <si>
    <t>WOS:000071537300013</t>
  </si>
  <si>
    <t>Tan, DGH; Haynes, PH; MacKenzie, AR; Pyle, JA</t>
  </si>
  <si>
    <t>Effects of fluid-dynamical stirring and mixing on the deactivation of stratospheric chlorine</t>
  </si>
  <si>
    <t>ATMOSPHERE RESEARCH SATELLITE; ARCTIC POLAR VORTEX; OZONE DEPLETION; INSITU MEASUREMENTS; COORDINATE SYSTEM; ANTARCTIC VORTEX; EASOE CAMPAIGN; MODEL; WINTER; HEMISPHERE</t>
  </si>
  <si>
    <t>We quantify the sensitivity to mixing of chlorine deactivation and ozone depletion in simplified models of the northern hemisphere, middle-latitude lower stratosphere. A photochemical box model augmented by a volume exchange model of mixing was used to identify situations for which effects of ClOx deactivation through mixing with NOx-rich air are at least as important as photochemical effects alone. In one simulation representative of a filament of high-latitude, ClOx-activated air mixing with low-latitude air, the O-3 depletion rate was found to be 0.287%, 0.127%, or 0.08% day(-1), for a volume exchange rate of 0, 0.06, or 0.48 day(-1), respectively. If we take the first rate as representative of Lagrangian models, the second rate as typical of the lower stratosphere, and the third rate as typical of those grid-based models that do not resolve the real mixing length scales, then our results suggest that Lagrangian models that do not represent mixing processes can, in certain circumstances, be in error by as much or more than grid-based models. The hox model results allowed the formulation of a simplified, yet reasonably accurate reaction scheme for mixing-induced chlorine deactivation which was then implemented in a two-dimensional model of quasi-horizontal transport along isentropic surfaces. The two-dimensional model represents mixing by an effective horizontal diffusivity that accounts for vertical diffusivity and horizontal strain, and for advective transport it uses winds from lower stratospheric observational analyses. Mixing-induced chlorine deactivation was found to exhibit substantial sensitivity to the effective diffusivity of the two-dimensional model. The associated O-3 depletion from the Molina and Molina [1987] ClO-dimer cycle was found to exhibit sensitivity in a number of different regimes. The sensitivity increases with time and also depends on other details of the wind fields and the NO, concentration field. We suggest that O-3 loss in low-resolution models is sensitive to perturbations in the Ne? field, whereas, by contrast, O-3 loss in the lower stratosphere is probably far less sensitive to such perturbations. To obtain estimates of O-3 less over 11 days chat are not sensitive to the diffusivity employed, it was necessary to use effective horizontal diffusivities D-H &lt; 10(5) m(2) s(-1), corresponding to horizontal features of about 200 km and hence requiring spatial resolution of about 40 km, which is much higher resolution than routinely employed. The results from the box model and the two-dimensional model are combined to assess the importance of mixing-induced chlorine deactivation relative to photolysis-induced deactivation.</t>
  </si>
  <si>
    <t>Univ Cambridge, Dept Appl Math &amp; Theoret Phys, Ctr Atmospher Sci, Cambridge CB3 9EW, England; Univ Cambridge, Dept Chem, Ctr Atmospher Sci, Cambridge CB2 1EW, England</t>
  </si>
  <si>
    <t>University of Cambridge; University of Cambridge</t>
  </si>
  <si>
    <t>Univ Cambridge, Dept Appl Math &amp; Theoret Phys, Ctr Atmospher Sci, Silver St, Cambridge CB3 9EW, England.</t>
  </si>
  <si>
    <t>d.g.h.tan@amtp.cam.ac.uk; phh@amtp.cam.ac.uk; robert@atm.ch.cam.ac.uk; pyle@atm.ch.cam.ac.uk</t>
  </si>
  <si>
    <t>Tan, David/HIR-2214-2022; MacKenzie, Angus Robert/ISS-0362-2023; MacKenzie, Angus Robert/B-1704-2009</t>
  </si>
  <si>
    <t>MacKenzie, Angus Robert/0000-0002-8227-742X; Haynes, Peter/0000-0002-7726-6988</t>
  </si>
  <si>
    <t>10.1029/97JD02495</t>
  </si>
  <si>
    <t>WOS:000071537300018</t>
  </si>
  <si>
    <t>Berresheim, H; Eisele, FL</t>
  </si>
  <si>
    <t>Sulfur Chemistry in the Antarctic Troposphere Experiment: An overview of project SCATE</t>
  </si>
  <si>
    <t>CLOUD CONDENSATION NUCLEI; METHANESULFONIC-ACID; PALMER-STATION; ATMOSPHERIC SULFUR; MARINE ATMOSPHERE; SIZE DISTRIBUTION; PACIFIC-OCEAN; AEROSOL IONS; AMBIENT AIR; ICE-CORE</t>
  </si>
  <si>
    <t>In January and February 1994 the Sulfur Chemistry in the Antarctic Troposphere Experiment (SCATE), a multi-institutional field research project, was conducted at Palmer Station (64 degrees 46'S, 64 degrees 03'W), Antarctica. In this paper we describe the scientific background and major objectives of SCATE and present an overview of the field measurement program, the study site, and meteorological conditions prevailing during the experiment. A specific goal of the SCATE study was to improve the current understanding of the chemistry of dimethylsulfide (EMS) in the remote marine atmosphere and its relation to the climate of Antarctica. The SCATE campaign included for the first time measurements of hydroxyl radical (OH), gas phase sulfuric acid (H2SO4), methanesulfonic acid (MSA), and nitric oxide (NO) concentrations over Antarctica. Because of the high time resolution and sensitivity of the corresponding measurement techniques it was possible to distinguish between meteorological and chemical processes contributing to the distribution of DMS oxidation products at the study site. Strong vertical exchange processes and long-range transport of marine air masses frequently dominated the observed concentrations. These processes were governed by intensive low-pressure cells passing through the Drake Passage and circling around the Antarctic coastline.</t>
  </si>
  <si>
    <t>Natl Ctr Atmospher Res, Div Atmospher Chem, Boulder, CO 80307 USA; Georgia Inst Technol, Sch Earth &amp; Atmospher Sci, Atlanta, GA 30332 USA; Georgia Inst Technol, Environm &amp; Mat Lab, Atlanta, GA 30332 USA</t>
  </si>
  <si>
    <t>National Center Atmospheric Research (NCAR) - USA; University System of Georgia; Georgia Institute of Technology; University System of Georgia; Georgia Institute of Technology</t>
  </si>
  <si>
    <t>Berresheim, H (corresponding author), Deutsch Wetterdienst, Meteorol Observ, Albin Schwaiger Weg 10, D-82383 Hohenpeissenberg, Germany.</t>
  </si>
  <si>
    <t>harald@mohp.dwd.d40O.de</t>
  </si>
  <si>
    <t>Berresheim, Harald/F-9670-2011</t>
  </si>
  <si>
    <t>10.1029/97JD00103</t>
  </si>
  <si>
    <t>WOS:000071537300020</t>
  </si>
  <si>
    <t>Berresheim, H; Huey, JW; Thorn, RP; Eisele, FL; Tanner, DJ; Jefferson, A</t>
  </si>
  <si>
    <t>Measurements of dimethyl sulfide, dimethyl sulfoxide, dimethyl sulfone, and aerosol ions at Palmer Station, Antarctica</t>
  </si>
  <si>
    <t>BIOGENIC SULFUR EMISSIONS; METHANESULFONIC-ACID; AMBIENT AIR; ATMOSPHERE; OCEANS; SOUTH; DIMETHYLSULFOXIDE; CHEMISTRY; MECHANISM; ATLANTIC</t>
  </si>
  <si>
    <t>In January and February 1994, measurements of dimethylsulfide (DMS) in air and seawater were conducted at Palmer Station, Antarctica, during project SCATE (Sulfur Chemistry in the Antarctic Troposphere Experiment). Corresponding values ranged between 6 and 595 pptv (median: 94 pptv) and 0.7 and 3.7 nM (median: 2 nM), respectively. Atmospheric DMS levels were significantly enhanced during a storm episode in connection with large-scale low-pressure systems passing through the study area. DMS sea-to-air fluxes ranged between 0.03 and 19 (median: 1.1) mu mol m(-2) d(-1) based on seawater DMS and wind speed measurements. The atmospheric DMS lifetime is estimated to be 9 days based on a 24-hour averaged OH concentration of 1.1 x 10(5) cm(-3). Atmospheric dimethylsulfoxide (DMSO) and dimethylsulfone (DMSO2) mixing ratios varied mostly between &lt;0.2 and 15 pptv. These variations consisted of many short-term spikes which may be explained by downward mixing of these compounds from the free troposphere [Davis et al., this issue]. The DMSO photochemical lifetime with respect to the 24-hour average OH concentration is approximately 25 hours in the coastal Antarctic troposphere in summer. However, present calculations show that the dominant sink of both DMSO and DMSO2 could be surface loss, yielding atmospheric lifetimes of a few hours for both compounds [see also Davis et al., this issue]. A good correlation was found between DMSO and DMSO2. Aerosol MSA and excess sulfate concentrations also showed a good correlation, with a slope of 0.73. However, DMS was not correlated with any of its measured oxidation products, probably because of its long atmospheric residence time over Antarctica.</t>
  </si>
  <si>
    <t>Deutsch Wetterdienst, Meteorol Observ, Albin Schwaiger Weg 10, D-82383 Hohenpeissenberg, Germany.</t>
  </si>
  <si>
    <t>harald@mohp.dwd.d400.de</t>
  </si>
  <si>
    <t>Jefferson, Anne/K-4793-2012; Berresheim, Harald/F-9670-2011</t>
  </si>
  <si>
    <t>Thorn Jr., Robert P./0000-0003-1661-8123</t>
  </si>
  <si>
    <t>10.1029/97JD00695</t>
  </si>
  <si>
    <t>WOS:000071537300021</t>
  </si>
  <si>
    <t>Jefferson, A; Tanner, DJ; Eisele, FL; Berresheim, H</t>
  </si>
  <si>
    <t>Sources and sinks of H2SO4 in the remote Antarctic marine boundary layer</t>
  </si>
  <si>
    <t>AEROSOL-SIZE DISTRIBUTIONS; METHANE SULFONIC-ACID; DIMETHYL SULFIDE; SULFURIC-ACID; OXIDATION; OH; TROPOSPHERE; SO2; ATMOSPHERE; MECHANISM</t>
  </si>
  <si>
    <t>A steady state analysis of H2SO4 sources and sinks in the Antarctic marine boundary layer was performed using measurements from project SCATE, Sulfur Chemistry in the Antarctic Troposphere Experiment. The calculations show that the SO2 levels needed to account for the observed gas phase H2SO4 ranged from about 17 to 300 parts per trillion by volume (pptv) with an average SO2 concentration of 100 pptv, far more than previous measurements of SO2 in this region which range between 7 and 17 pptv [Berresheim, 1987; Pszenny et al., 1989; P. Quinn, personal communication, 1996]. Boundary layer oxidation of DMS via an SO2 intermediate was found to be an insufficient source of H2SO4 in this region. Likely alternative sources of H2SO4 include oxidation of boundary layer DMDS and vertical entrainment of air from higher altitudes.</t>
  </si>
  <si>
    <t>Natl Ctr Atmospher Res, Div Atmospher Chem, Boulder, CO 80307 USA; Deutsch Wetterdienst, MOHp, Hohenpeissenberg, Germany; Georgia Inst Technol, Atlanta, GA 30332 USA</t>
  </si>
  <si>
    <t>National Center Atmospheric Research (NCAR) - USA; Deutscher Wetterdienst; University System of Georgia; Georgia Institute of Technology</t>
  </si>
  <si>
    <t>Natl Ctr Atmospher Res, Div Atmospher Chem, POB 3000, Boulder, CO 80307 USA.</t>
  </si>
  <si>
    <t>ajeff@acd.ucar.edu</t>
  </si>
  <si>
    <t>10.1029/97JD01212</t>
  </si>
  <si>
    <t>WOS:000071537300022</t>
  </si>
  <si>
    <t>Jefferson, A; Tanner, DJ; Eisele, FL; Davis, DD; Chen, G; Crawford, J; Huey, JW; Torres, AL; Berresheim, H</t>
  </si>
  <si>
    <t>OH photochemistry and methane sulfonic acid formation in the coastal Antarctic boundary layer</t>
  </si>
  <si>
    <t>NITRIC-OXIDE MEASUREMENTS; MARINE AEROSOL; METHANESULFONIC-ACID; TROPOSPHERIC OH; SULFUR CYCLE; SULFATE; PACIFIC; COLORADO; SAGA-3; SOUTH</t>
  </si>
  <si>
    <t>Studies of dimethylsulfide (DMS) oxidation chemistry were conducted at Palmer Station on Anvers Island, Antarctica, during the austral summer of 1993/1994. Part of the study involved gas phase measurements of OH, methane sulfonic acid (MSA), and H2SO4 using a chemical ionization mass spectrometer, as well as measurements of the NO, CO, and O-3 concentrations, Mean 24 hour concentrations from February 16-23 of OH, MSA, and H2SO4 were 1.1 x 10(5), 9.5 x 10(5), and 1.61 x 10(6) molecules cm(-3), respectively. Model calculations of OH compared well with observed levels (e.g., within 30%). The modeling results suggest that the dominant source of OH is from the reaction of O(D-1) with H2O, where O(D-1) is the product of O-3 photolysis, Because of the clean atmospheric environment and predicted low nonmethyl hydrocarbon levels in Antarctica, the dominant OH sink was found to be reaction with CO and CH4. Particulate levels of MSA were higher than could be attributed to condensation of boundary layer (BL) gas phase MSA on to the aerosol surface. Alternate mechanisms for generating MSA in the particle phase were speculated to involve either in-cloud oxidation of dimethylsulfoxide or OH oxidation of DMS in the atmospheric buffer layer above the boundary layer followed by condensation of gas phase MSA on aerosols and transport back to the BL [Davis et al., this issue].</t>
  </si>
  <si>
    <t>Natl Ctr Atmospher Res, Div Atmospher Chem, Boulder, CO 80307 USA; Deutsch Wetterdienst, MOHp, D-82383 Hohenpeissenberg, Germany; Georgia Inst Technol, Atlanta, GA 30332 USA; US EPA, Air Div, Atlanta, GA 30303 USA; NASA, Goddard Space Flight Ctr, Wallops Isl, VA 23337 USA</t>
  </si>
  <si>
    <t>National Center Atmospheric Research (NCAR) - USA; Deutscher Wetterdienst; University System of Georgia; Georgia Institute of Technology; United States Environmental Protection Agency; National Aeronautics &amp; Space Administration (NASA); NASA Goddard Space Flight Center</t>
  </si>
  <si>
    <t>Natl Ctr Atmospher Res, Div Atmospher Chem, Boulder, CO 80307 USA.</t>
  </si>
  <si>
    <t>Berresheim, Harald/F-9670-2011; Jefferson, Anne/K-4793-2012; Crawford, James/L-6632-2013</t>
  </si>
  <si>
    <t>Crawford, James/0000-0002-6982-0934</t>
  </si>
  <si>
    <t>10.1029/97JD02376</t>
  </si>
  <si>
    <t>WOS:000071537300023</t>
  </si>
  <si>
    <t>Davis, D; Chen, G; Kasibhatla, P; Jefferson, A; Tanner, D; Eisele, F; Lenschow, D; Neff, W; Berresheim, H</t>
  </si>
  <si>
    <t>DMS oxidation in the Antarctic marine boundary layer:: Comparison of model simulations and field observations of DMS, DMSO, DMSO2, H2SO4(g), MSA(g), and MSA(p)</t>
  </si>
  <si>
    <t>METHANE SULFONIC-ACID; DIMETHYL SULFIDE; METHANESULFONIC-ACID; CHEMICAL-COMPOSITION; TEMPORAL VARIATIONS; SULFUR EMISSIONS; BIOGENIC SULFUR; SOUTHERN-OCEAN; MT-EREBUS; ATMOSPHERE</t>
  </si>
  <si>
    <t>A sulfur field study (SCATE) at Palmer Station Antarctica (January 18 to February 25) has revealed several major new findings concerning (dimethyl sulfide) DMS oxidation chemistry and the cycling of sulfur within the Antarctic environment. Significant evidence was found supporting the notion that the OH/DMS addition reaction is a major source of dimethyl sulfoxide (DMSO), Methane sulfonic acid (MSA(g)) levels were also found to be consistent with an OH/DMS addition mechanism involving the sequential oxidation of the products DMSO and methane sulfinic acid (MSIA). Evidence supporting the hypothesis that the OH/DMS addition reaction, as well as follow-on reactions involving OH/DMSO, are a major source of SO2 was significant, but not conclusive. No evidence could be found supporting the notion that reactive intermediates (i.e., SO3) other than SO2 were an important source of H2SO4. Quite clearly, one of the major findings of SCATE was the recognition that a large fraction of the Antarctic oxidative cycle for DMS (near Palmer Station) took place above the boundary layer (BL) in what we have labeled here as the atmospheric buffer layer (BuL). Although still speculative in places, the overall picture emerging from the SCATE field/modeling results is one involving major coupling between chemistry and dynamics in the Antarctic. At Palmer the evidence points to frequent episodes of rapid vertical transport from a very shallow marine BL into the overlying BuL. Due to the combination of a long photochemical lifetime for DMS and the frequency of shallow convective events, a large fraction of ocean released DMS is transported into the BuL while still in its unoxidized state. There, in the presence of elevated OH and low aerosol scavenging, high levels of oxidized sulfur accumulate. Parcels of this BuL air are then episodically entrained back into the BL, thereby providing a controlling influence on BL SO2, DMSO, and DMSO2. Additionally, because SO? and DMSO are major precursors to H2SO4 and MSA, BuL chemistry, in conjunction with vertical transport, also act to control BL levels of the latter species. Although many uncertainties remain in our understanding of Antarctic DMS chemistry, the above picture already suggests that previous chemical interpretations of Antarctic field data may need to be altered.</t>
  </si>
  <si>
    <t>Georgia Inst Technol, Sch Earth &amp; Atmospher Sci, Atlanta, GA 30332 USA; Deutsch Wetterdienst, MOHp, Hohenpeissenberg, Germany; Natl Ctr Atmospher Res, Boulder, CO 80307 USA; Duke Univ, Sch Environm, Levine Sci Res Ctr A141, Durham, NC 27708 USA; NOAA, Boulder, CO 80307 USA</t>
  </si>
  <si>
    <t>University System of Georgia; Georgia Institute of Technology; Deutscher Wetterdienst; National Center Atmospheric Research (NCAR) - USA; Duke University; National Oceanic Atmospheric Admin (NOAA) - USA</t>
  </si>
  <si>
    <t>Georgia Inst Technol, Sch Earth &amp; Atmospher Sci, 221 Bobby Dodd Way,Room 108, Atlanta, GA 30332 USA.</t>
  </si>
  <si>
    <t>dd16@prism.gatech.edu; gc37@prism.gatech.edu; psk9@acpub.duke.edu; ajeff@ncar.ucar.edu; eisele@ncar.ucar.edu; lenschow@ncar.ucar.edu; wdn@etl.noaa.gov; harald@mohp.dwd.d400.de</t>
  </si>
  <si>
    <t>Jefferson, Anne/K-4793-2012; Kasibhatla, Prasad/A-2574-2010; Berresheim, Harald/F-9670-2011; Neff, William D/E-2725-2010</t>
  </si>
  <si>
    <t>Neff, William D/0000-0003-4047-7076</t>
  </si>
  <si>
    <t>10.1029/97JD03452</t>
  </si>
  <si>
    <t>WOS:000071537300024</t>
  </si>
  <si>
    <t>Morrey, MW; Harwood, RS</t>
  </si>
  <si>
    <t>Interhemispheric differences in stratospheric water vapour during late winter, in version 4 MLS measurements</t>
  </si>
  <si>
    <t>ANTARCTIC VORTEX; POLAR VORTEX; AIR; DESCENT; H2O</t>
  </si>
  <si>
    <t>Observations of stratospheric water vapour, made by the Microwave Limb Sounder (MLS) during the 1992 and 1993 Arctic and 1992 Antarctic late winters have now been produced using version 4 of the retrieval software. These improved measurements are analysed as equivalent latitude zonal means. Major interhemispheric differences are revealed in the water vapour content of the vortex in the lower stratosphere. This technique emphasises mixing ratio gradients at the edges of both polar vortices, and a local maximum at the edge of the Antarctic vortex. There are some small interhemispheric differences in mixing ratios in mid-latitudes, but they are not strongly related to the dehydration of the Antarctic vortex. A mixing ratio gradient across the interior of the Antarctic vortex at 530K indicates it is not isentropically mixed. A strong local maximum in mixing ratio at the centre of the Antarctic vortex in the mid-stratosphere indicates it is not well mixed in the mid-stratosphere also. There is little evidence of significant structure inside the Arctic vortex.</t>
  </si>
  <si>
    <t>Univ Edinburgh, Dept Meteorol, Edinburgh EH9 3JE, Midlothian, Scotland</t>
  </si>
  <si>
    <t>University of Edinburgh</t>
  </si>
  <si>
    <t>Morrey, MW (corresponding author), Univ Edinburgh, Dept Meteorol, Kings Bldg,W Mains Rd, Edinburgh EH9 3JE, Midlothian, Scotland.</t>
  </si>
  <si>
    <t>Morrey, Martin/0000-0002-5605-533X</t>
  </si>
  <si>
    <t>JAN 15</t>
  </si>
  <si>
    <t>10.1029/97GL53637</t>
  </si>
  <si>
    <t>YT257</t>
  </si>
  <si>
    <t>WOS:000071581600004</t>
  </si>
  <si>
    <t>Nakata, M; Suginohara, N</t>
  </si>
  <si>
    <t>Role of deep stratification in transporting deep water from the Atlantic to the Pacific</t>
  </si>
  <si>
    <t>GENERAL-CIRCULATION MODELS; GLOBAL THERMOHALINE CIRCULATION; WORLD OCEAN; MULTIPLE EQUILIBRIA; BOTTOM WATER; SENSITIVITY; PARAMETERIZATION; RESOLUTION; DIFFUSION; ADVECTION</t>
  </si>
  <si>
    <t>We investigate the mechanism of the connection between the Atlantic and the Pacific deep water through the Antarctic Circumpolar Current by using an idealized two-basin model. It is found that the presence of the marked density stratification in the circumpolar region well below the Drake Passage sill is essential for reproducing the realistic connection. The deep stratification forms when a body forcing is imposed at the bottom level in the bottom water formation region. The body forcing is to mimic the formation process of the Antarctic Bottom Water, in which its characteristics are obtained through entrainment during downwelling. Then the bottom water is confined to the depths well below the Drake Passage sill and the deep water from the north tends to occupy the depths even below the Drake Passage sill. Flowing around Antarctica the water from the north upwells owing to the Ekman suction. Consequently, realistic water property distributions in the deep Pacific are well reproduced. It is demonstrated that this mechanism works in the world ocean model.</t>
  </si>
  <si>
    <t>Natl Inst Resources &amp; Environm, Tsukuba, Ibaraki 305, Japan; Univ Tokyo, Ctr Climate Syst Res, Meguro Ku, Tokyo 153, Japan</t>
  </si>
  <si>
    <t>National Institute of Advanced Industrial Science &amp; Technology (AIST); University of Tokyo</t>
  </si>
  <si>
    <t>Nakata, M (corresponding author), Natl Inst Resources &amp; Environm, Tsukuba, Ibaraki 305, Japan.</t>
  </si>
  <si>
    <t>C1</t>
  </si>
  <si>
    <t>10.1029/97JC02547</t>
  </si>
  <si>
    <t>YQ713</t>
  </si>
  <si>
    <t>WOS:000071415800005</t>
  </si>
  <si>
    <t>Craig, AP; Bullister, JL; Harrison, DE; Chervin, RM; Semtner, AJ</t>
  </si>
  <si>
    <t>A comparison of temperature, salinity, and chlorofluorocarbon observations with results from a 1° resolution three-dimensional global ocean model</t>
  </si>
  <si>
    <t>GENERAL-CIRCULATION MODELS; SCALE WATER MASSES; WORLD OCEAN; CLIMATE MODEL; CHLOROFLUOROMETHANES; DISTRIBUTIONS; ATLANTIC; SIMULATIONS; RADIOCARBON; FIELDS</t>
  </si>
  <si>
    <t>We describe the ability of a moderate-resolution global ocean model to simulate the general circulation and the ocean-atmosphere exchange and redistribution of chlorofluorocarbons (CFCs). The model was spun up from climatological initial conditions and has been integrated for decades representing 1930 to the present. Climatological monthly mean winds were imposed during the spin-up and first 50 years of the integration, From 1980, monthly mean European Centre for Medium-Range Weather Forecasts (ECMWF) wind stress fields were used. We compare model results to cruise data and to long-term mean observations and find good qualitative agreement in most areas. Overall, the model agrees reasonably well in regions where measurable CFCs have. been observed, and the large-scale model ventilation pathways appear realistic. One of the most conspicuous shortcomings is the small volume of Antarctic Intermediate Water in the model results. This leads to errors in the general water mass structure and in CFC concentrations in the model in other regions. Notable CFC differences are found in regions where deep water masses are formed and in the upper subtropical gyre regions in which the Kuroshio extension exists. The model oceanic CFC sink represents &lt;1% of all CFCs produced since 1930 and is small relative to the stratospheric sink for these compounds.</t>
  </si>
  <si>
    <t>Natl Ctr Atmospher Res, Boulder, CO 80307 USA; NOAA, Pacific Marine Environm Lab, Seattle, WA 98115 USA; USN, Postgrad Sch, Monterey, CA 93943 USA</t>
  </si>
  <si>
    <t>National Center Atmospheric Research (NCAR) - USA; National Oceanic Atmospheric Admin (NOAA) - USA; United States Department of Defense; United States Navy; Naval Postgraduate School</t>
  </si>
  <si>
    <t>Natl Ctr Atmospher Res, Pob 3000, Boulder, CO 80307 USA.</t>
  </si>
  <si>
    <t>harrison@pmel.noaa.gov</t>
  </si>
  <si>
    <t>Harrison, Don E/D-9582-2013</t>
  </si>
  <si>
    <t>10.1029/97JC02394</t>
  </si>
  <si>
    <t>WOS:000071415800007</t>
  </si>
  <si>
    <t>Feron, RCV; De Ruijter, WPM; van Leeuwen, PJ</t>
  </si>
  <si>
    <t>A new method to determine the mean sea surface dynamic topography from satellite altimeter observations</t>
  </si>
  <si>
    <t>AGULHAS CURRENT SYSTEM; RESOLUTION ANTARCTIC MODEL; GULF-STREAM; KUROSHIO EXTENSION; GEOSAT ALTIMETER; CAPE-HATTERAS; RETROFLECTION; VARIABILITY; OCEAN; FLOW</t>
  </si>
  <si>
    <t>A method is presented to calculate mean sea surface dynamic topography from satellite altimeter observations of its temporal variability. Time averaging of a simplified version of the quasi-geostrophic potential vorticity equation for the upper ocean layer results in a differential equation for the averaged relative vorticity in which the mean divergence of the eddy vorticity fluxes acts as a source or sink. The essential part is that these eddy fluxes can he determined from the altimeter observations. Consequently, no parameterisations appear in the averaged vorticity equation. From the average vorticity field, surface geostrophic velocities and related mean dynamic sea surface topography can then simply be derived. The usefulness of the method is established using perfect data, namely numerical output from the United Kingdom Fine Resolution Antarctic Model. The method appears applicable to areas of the ocean with strong enough mesoscale variability such as the major western boundary currents and their extensions and to frontal regions of the Antarctic Circumpolar Current. Quite realistic results are presented for active regions of the world ocean. Results are compared with hydrographic observations for the major western boundary current extensions of the Southern Ocean. An important application is to combine the newly derived averaged flow field with the observed eddy field to derive the total time-varying geostrophic surface velocity field. As a striking example this is applied to the Aguihas Current retroflection, where the repeated shedding of large rings can now be synoptically reconstructed as a continuous process.</t>
  </si>
  <si>
    <t>Univ Utrecht, Inst Marine &amp; Atmospher Res, NL-3584 CH Utrecht, Netherlands</t>
  </si>
  <si>
    <t>Utrecht University</t>
  </si>
  <si>
    <t>Feron, RCV (corresponding author), Survey Dept, POB 5023, NL-2600 GA Delft, Netherlands.</t>
  </si>
  <si>
    <t>r.c.v.feron@mdi.rws.minventv.nl</t>
  </si>
  <si>
    <t>de Ruijter, Wilhelmus/I-2541-2016; van Leeuwen (Note: publication and review record are incomplete! Don't use this as a source for anything), Peter Jan/A-1271-2010</t>
  </si>
  <si>
    <t>van Leeuwen (Note: publication and review record are incomplete! Don't use this as a source for anything), Peter Jan/0000-0003-2325-5340</t>
  </si>
  <si>
    <t>10.1029/97JC00389</t>
  </si>
  <si>
    <t>WOS:000071415800021</t>
  </si>
  <si>
    <t>Bianco, R; Hynes, JT</t>
  </si>
  <si>
    <t>Ab initio model study of the mechanism of chlorine nitrate hydrolysis on ice</t>
  </si>
  <si>
    <t>NITRIC-ACID TRIHYDRATE; POLAR STRATOSPHERIC CLOUDS; HETEROGENEOUS REACTIONS; HYDROGEN-CHLORIDE; ANTARCTIC OZONE; MOLECULAR-STRUCTURE; ACTIVE CHLORINE; CLONO2; WATER; CHEMISTRY</t>
  </si>
  <si>
    <t>The hydrolysis of chlorine nitrate ClONO(2) + H(2)O --&gt; HOCl + HNO(3) on a type-II polar stratospheric cloud ice aerosol is modeled via the ClONO(2) .(H(2)O)(3) reaction system at the HF/6-31+G** level of theory with microsolvation by three additional STO-3G waters, and with electron correlation accounted for at the MP2 level. The calculations suggest a fast reaction, consistent with experimental observations, and portray a transition state that involves a nucleophilic attack of a water molecule on chlorine concerted with proton transfer from the attacking water to the ice lattice. The results also give insight on the observed slow desorption of the produced HOCl and indicate a source of rate suppression on sulfate and nitrate containing type-I polar stratospheric cloud ice aerosols.</t>
  </si>
  <si>
    <t>Hynes, JT (corresponding author), Univ Colorado, Dept Chem &amp; Biochem, Campus Box 215, Boulder, CO 80309 USA.</t>
  </si>
  <si>
    <t>hynes@spot.colorado.edu</t>
  </si>
  <si>
    <t>JAN 8</t>
  </si>
  <si>
    <t>10.1021/jp970466c</t>
  </si>
  <si>
    <t>YR894</t>
  </si>
  <si>
    <t>WOS:000071542200001</t>
  </si>
  <si>
    <t>Tamburelli, I; Chiavassa, T; Borget, F; Pourcin, J</t>
  </si>
  <si>
    <t>Reactivity at low temperature of carbon suboxide (C3O2) with amorphous surface of HCl hydrates monitored by FTIR spectroscopy</t>
  </si>
  <si>
    <t>HYDROGEN-CHLORIDE; COMET HALLEY; ASTROPHYSICAL IMPLICATIONS; ANTARCTIC OZONE; ICE SURFACES; MECHANISMS; ADSORPTION; IONIZATION; DYNAMICS; NITRATE</t>
  </si>
  <si>
    <t>An experimental study, monitored by FTIR spectroscopy, of the spontaneous reaction of C3O2 with HCI on the acid hydrate surface has been performed at low temperature. The first appearing reaction product at 85 K was assigned to chloroformylketene while the second, appearing at 145 K, to malonyl dichloride by comparison with previously reported data in matrix isolation spectroscopy. C3O2 was deposited at 80 K over an amorphous surface of HCl hydrates mainly formed from ionic species (H3O+(H2O)(n-1)Cl-; n = 1-3, 4, 6), prepared by codeposition of a H2O:HCl gaseous mixture at 80 K. The reactions were promoted by warming the substrate from 80 to 200 K. Experiments showed that monohydrate H3O+Cl- was more reactive than higher hydrates by easier C3O2 protonation. Reactions are described by an ionic mechanism catalyzed by ice water and occurring on the surface. Spectral evidence of HCl amorphous hydrates, chloroformylketene, and malonyl dichloride are reported.</t>
  </si>
  <si>
    <t>Univ Aix Marseille 1, Equipe Spectrometries &amp; Dynam Mol, UMR 6633, F-13397 Marseille 20, France</t>
  </si>
  <si>
    <t>Aix-Marseille Universite</t>
  </si>
  <si>
    <t>Chiavassa, T (corresponding author), Univ Aix Marseille 1, Equipe Spectrometries &amp; Dynam Mol, UMR 6633, Boite 542, F-13397 Marseille 20, France.</t>
  </si>
  <si>
    <t>BORGET, Fabien/A-8386-2008; BORGET, Fabien/O-1244-2019</t>
  </si>
  <si>
    <t>BORGET, Fabien/0000-0001-7828-7046;</t>
  </si>
  <si>
    <t>10.1021/jp972623d</t>
  </si>
  <si>
    <t>WOS:000071542200013</t>
  </si>
  <si>
    <t>C</t>
  </si>
  <si>
    <t>Rodger, CJ; Wait, JR; Thomson, NR</t>
  </si>
  <si>
    <t>IEEE</t>
  </si>
  <si>
    <t>VLF scattering from red sprites: Vertical columns of ionisation in the Earth-ionosphere waveguide</t>
  </si>
  <si>
    <t>1998 INTERNATIONAL CONFERENCE ON MATHEMATICAL METHODS IN ELECTROMAGNETIC THEORY, VOLS 1 AND 2</t>
  </si>
  <si>
    <t>Proceedings Paper</t>
  </si>
  <si>
    <t>1998 International Conference on Mathematical Methods in Electromagnetic Theory</t>
  </si>
  <si>
    <t>JUN 02-05, 1998</t>
  </si>
  <si>
    <t>KHARKOV, UKRAINE</t>
  </si>
  <si>
    <t>Red Sprites were discovered by chance in 1989 when a Low Light TV system was pointed above an active thunderstorm. Optically, red sprites are observed as clusters of short-lived (similar to 50 ms) pinkish-red luminous columns, stretching from similar to 40 km to similar to 85 ion altitude, each about 1 km wide. Red sprite discharges produce columns of ionisation in the Earth-ionosphere waveguide, which can persist for up to similar to 100 s at higher altitudes. The ionised columns have been observed through VLF Sprites, perturbations of the phase and/or amplitude of subionospheric VLF transmissions, which can be used to study the electrical properties of the red sprite columns. Previous theoretical studies of red sprite columns have simplified the problem by assuming the columns were of infinite length, or inside a flat-earth waveguide. We present calculations using well-developed VLF propagation methods to describe a finite length spite inside a realistic Earth-ionosphere waveguide.</t>
  </si>
  <si>
    <t>Rodger, CJ (corresponding author), British Antarctic Survey, Cambridge CB3 0ET, England.</t>
  </si>
  <si>
    <t>345 E 47TH ST, NEW YORK, NY 10017 USA</t>
  </si>
  <si>
    <t>0-7803-4360-3</t>
  </si>
  <si>
    <t>Engineering, Electrical &amp; Electronic; Physics, Applied; Physics, Multidisciplinary</t>
  </si>
  <si>
    <t>Conference Proceedings Citation Index - Science (CPCI-S)</t>
  </si>
  <si>
    <t>Engineering; Physics</t>
  </si>
  <si>
    <t>BL53B</t>
  </si>
  <si>
    <t>WOS:000075788400073</t>
  </si>
  <si>
    <t>Dubourg, V; Nouel, F; Vecten, A; Durand, M</t>
  </si>
  <si>
    <t>ISRSE; ISRSE</t>
  </si>
  <si>
    <t>Long lived superpressure balloons systems for in situ measurements in the polar stratospheric vortex</t>
  </si>
  <si>
    <t>27TH INTERNATIONAL SYMPOSIUM ON REMOTE SENSING OF ENVIRONMENT, PROCEEDINGS: INFORMATION FOR SUSTAINABILITY</t>
  </si>
  <si>
    <t>27th International Symposium on Remote Sensing of Environment</t>
  </si>
  <si>
    <t>JUN 08-12, 1998</t>
  </si>
  <si>
    <t>TROMSO, NORWAY</t>
  </si>
  <si>
    <t>The study of the dynamics and the ozone chemistry of the stratospheric polar vortex (at both poles) remains one of the prominent scientific objectives on the threshold of the 3rd millenary. In that field of investigation, scientific projects such as LAGRANGLAN EXPERIMENT in the Arctic (Kiruna, January 1999), VORCORE (Mac Murdo 2000) and VOREDGE in the Antarctic have been proposed to CNES by French searchers backed by an international community. In both cases, the observation system, currently developed at CNES, is based on the use of a set of long-lived (1 to 3 months) isopycnic drifting balloons launched from polar sites, flying at constant density levels from 18 to 20 km, Each balloon will be basically instrumented with pressure, temperature, 3D position (GPS) sensors, and the gondolas will also perform chemistry (H2O, O3) and radiation measurements. An onboard ARGOS beacon will be used for via satellite data transmission. A project team at CNES Balloons Division in Toulouse is working on the qualification of the complete aerostat ( 10 m pressurized balloon and associated gondola). Three successful short duration flights of scale one balloon models have been performed since October 1997 from the French launch facility of Aire-sur-Adour. One campaign of long duration flights is on schedule by mid-98 in Ecuador to qualify the system before scientific flights.</t>
  </si>
  <si>
    <t>CNES Balloons Div, F-31401 Toulouse 4, France</t>
  </si>
  <si>
    <t>Dubourg, V (corresponding author), CNES Balloons Div, 18 Ave E Belin, F-31401 Toulouse 4, France.</t>
  </si>
  <si>
    <t>NORSK ROMSENTER</t>
  </si>
  <si>
    <t>OSLO</t>
  </si>
  <si>
    <t>POSTBOKS 85 SMESTAD, 0309 OSLO, NORWAY</t>
  </si>
  <si>
    <t>82-7542-040-7</t>
  </si>
  <si>
    <t>Environmental Sciences; Remote Sensing</t>
  </si>
  <si>
    <t>Environmental Sciences &amp; Ecology; Remote Sensing</t>
  </si>
  <si>
    <t>BM34W</t>
  </si>
  <si>
    <t>WOS:000078443800064</t>
  </si>
  <si>
    <t>Baldi, M; Sbano, L; Dalu, GA; Kivi, R</t>
  </si>
  <si>
    <t>Colacino, M; Giovanelli, G; Stefanutti, L</t>
  </si>
  <si>
    <t>A Lee wave model for high latitude atmospheric flow</t>
  </si>
  <si>
    <t>7TH WORKSHOP - ITALIAN RESEARCH ON ANTARCTIC ATMOSPHERE</t>
  </si>
  <si>
    <t>ITALIAN PHYSICAL SOCIETY CONFERENCE PROCEEDINGS (IPS)</t>
  </si>
  <si>
    <t>7th Workshop on Italian Research on Antarctic Atmosphere</t>
  </si>
  <si>
    <t>OCT 22-24, 1997</t>
  </si>
  <si>
    <t>BOLOGNA, ITALY</t>
  </si>
  <si>
    <t>In this paper we present a simple stationary model for the description of the atmospheric lee-waves. The solutions to the problem can be found using two different approaches, depending on the observed data and on how they can be parametrized in the model. The data we use to initialize the model are the vertical sounding in Bodo (Norway). We evaluate also the amount of energy transferred by the lee-waves from the troposphere into the lower stratosphere. During the Airborne Polar Experiment held in Rovaniemi (Finland) in the winter 1996-97, at a latitude of similar or equal to 65N, Polar Stratospheric Clouds (PSCs) have been observed on lee of the Scandinavian Alps, which from a qualitative exams seems correlated to lee-waves inbedded in a larger gravity inertia wave. Our model refers to these lee-waves, though a comparison between model results and observations from the Rovaniemi field campaign is not yet completed.</t>
  </si>
  <si>
    <t>CNR, Ist Fis Atmosfera, I-00133 Rome, Italy</t>
  </si>
  <si>
    <t>Consiglio Nazionale delle Ricerche (CNR)</t>
  </si>
  <si>
    <t>Baldi, M (corresponding author), CNR, Ist Fis Atmosfera, Via Fosso Cavaliere SNC, I-00133 Rome, Italy.</t>
  </si>
  <si>
    <t>Dalu, Giovanni A/C-5138-2009; Baldi, Marina/AAD-2827-2020; Baldi, Marina/C-5134-2009</t>
  </si>
  <si>
    <t>Baldi, Marina/0000-0002-8032-2944;</t>
  </si>
  <si>
    <t>EDITRICE COMPOSITORI</t>
  </si>
  <si>
    <t>BOLOGNA</t>
  </si>
  <si>
    <t>VIA STALINGRADO 97/2, 40128 BOLOGNA, ITALY</t>
  </si>
  <si>
    <t>88-7794-142-1</t>
  </si>
  <si>
    <t>ITAL PHY SO</t>
  </si>
  <si>
    <t>BM64V</t>
  </si>
  <si>
    <t>WOS:000079334200003</t>
  </si>
  <si>
    <t>Zucchelli, M</t>
  </si>
  <si>
    <t>National Antarctic Research Program (PNRA)</t>
  </si>
  <si>
    <t>ENEA, PNRA, Progetto Antartide, I-00060 S Maria Di Galeria, RM, Italy</t>
  </si>
  <si>
    <t>Italian National Agency New Technical Energy &amp; Sustainable Economics Development</t>
  </si>
  <si>
    <t>Zucchelli, M (corresponding author), ENEA, PNRA, Progetto Antartide, Via Anguillarese 301, I-00060 S Maria Di Galeria, RM, Italy.</t>
  </si>
  <si>
    <t>XIII</t>
  </si>
  <si>
    <t>XXVIII</t>
  </si>
  <si>
    <t>WOS:000079334200001</t>
  </si>
  <si>
    <t>Baldi, M; Dalu, GA; Casaioli, M; Sbano, L</t>
  </si>
  <si>
    <t>Drainage flows in Antarctica: a first order analytical model</t>
  </si>
  <si>
    <t>CONTINENT</t>
  </si>
  <si>
    <t>Net radiative cooling at the ice surface is the major responsible for the presence of the cold surface layer which covers the Antarctic Continent. Such a cold air drains from the interior of the Continent towards the coastline, because of the terrain slope, generating the so-called katabatic winds. A linear analytical model, derived as an extension of the Ball's model [1], has been used in order to study the complex phenomenology of these katabatic winds in Antarctica. Explicit solutions to the problem have been derived and the effects due to local orographic features have been analysed. Solutions depend on the horizontal scale of the orography with respect to the Rossby radius, and on the value of the Froude number. The extended model is more effective than Ball's model in describing the surface layer dynamics when the horizontal scale of the local orography is smaller than the Rossby radius. At smaller orography scales, when Froude number is close to unity, the solutions strongly depend on the orographic features, and the linear assumption may not be valid anymore.</t>
  </si>
  <si>
    <t>CNR, Ist Fis Atmosfera, I-00144 Rome, Italy</t>
  </si>
  <si>
    <t>Baldi, M (corresponding author), CNR, Ist Fis Atmosfera, P Luigi Sturzo 31, I-00144 Rome, Italy.</t>
  </si>
  <si>
    <t>Baldi, Marina/C-5134-2009; Baldi, Marina/AAD-2827-2020; Dalu, Giovanni A/C-5138-2009</t>
  </si>
  <si>
    <t>WOS:000079334200004</t>
  </si>
  <si>
    <t>Colacino, M</t>
  </si>
  <si>
    <t>The Italian Research on Antarctic Atmosphere: a review</t>
  </si>
  <si>
    <t>After a short introduction and a description of the objective of the thematic area, a review of the researches carried out in Antarctica in the last years is presented. The more interesting results obtained in the different projects are also shown with particular emphasis on the programs developed in international cooperation such as the Airborne Polar Experiment or the PBL studies. Finally a description of the structure of the project closes the paper.</t>
  </si>
  <si>
    <t>Colacino, M (corresponding author), CNR, Ist Fis Atmosfera, Via Fosso Cavaliere, I-00133 Rome, Italy.</t>
  </si>
  <si>
    <t>XXIX</t>
  </si>
  <si>
    <t>XXXV</t>
  </si>
  <si>
    <t>WOS:000079334200002</t>
  </si>
  <si>
    <t>Stortini, M; Morelli, S; Marchesi, S; Davolio, S</t>
  </si>
  <si>
    <t>Numerical mesoscale simulations of the atmospheric flow over Antarctica</t>
  </si>
  <si>
    <t>MODEL; PREDICTABILITY; COORDINATE</t>
  </si>
  <si>
    <t>The atmospheric circulation over Antarctica during January 1994 is simulated using a limited area model, ETA model (version 1993, 55 Km horizontal resolution, 17 levels). The simulations are performed with initialized analyses from European Centre for Medium Range Weather Forecasts (ECMWF) as initial and boundary conditions. The results are in good agreement with the analyses even if the mesoscale features on the high Plateau are poorly represented. The model deficiency over the Plateau is emphasised in the medium-range simulation. Additional comparisons of model results and AWS observations will be presented.</t>
  </si>
  <si>
    <t>Univ Modena, Sez Osservatorio Geofis, Dip Sci Ingn, I-41100 Modena, Italy</t>
  </si>
  <si>
    <t>Universita di Modena e Reggio Emilia</t>
  </si>
  <si>
    <t>Stortini, M (corresponding author), Univ Modena, Sez Osservatorio Geofis, Dip Sci Ingn, Via Campi 213-A, I-41100 Modena, Italy.</t>
  </si>
  <si>
    <t>davolio, silvio/C-8425-2017; Marchesi, Stefano/ABH-5004-2020; Morelli, Sandra/M-2144-2016</t>
  </si>
  <si>
    <t>davolio, silvio/0000-0001-8704-1814; Marchesi, Stefano/0000-0001-5544-0749;</t>
  </si>
  <si>
    <t>WOS:000079334200005</t>
  </si>
  <si>
    <t>Fantini, M</t>
  </si>
  <si>
    <t>Effects of latent heat release on baroclinic cyclones</t>
  </si>
  <si>
    <t>INSTABILITY</t>
  </si>
  <si>
    <t>Recent results of idealized modeling of moist baroclinic waves in primitive equations are presented and compared with previous studies performed with different approximations, Preliminary findings confirm the increased growth rate and reduced wavelength of moist baroclinic normal modes, while the spatial structure obtained previously in the quasi geostrophic approximation appears to be partly in error.</t>
  </si>
  <si>
    <t>CNR, Ist Studio Fenomeni Fis &amp; Chim Bassa &amp; Alta Atmos, I-40129 Bologna, Italy</t>
  </si>
  <si>
    <t>Fantini, M (corresponding author), CNR, Ist Studio Fenomeni Fis &amp; Chim Bassa &amp; Alta Atmos, Via P Gobetti 101, I-40129 Bologna, Italy.</t>
  </si>
  <si>
    <t>Fantini, Maurizio/H-4871-2011</t>
  </si>
  <si>
    <t>Fantini, Maurizio/0000-0003-0962-9190</t>
  </si>
  <si>
    <t>WOS:000079334200006</t>
  </si>
  <si>
    <t>Tirabassi, T; Pasi, P; Georgiadis, T</t>
  </si>
  <si>
    <t>Evaluation of boundary layer parameters from elementary meteorological data near the ground in Antarctica</t>
  </si>
  <si>
    <t>SURFACE FLUXES; WIND-SPEED; MODEL</t>
  </si>
  <si>
    <t>A mathematical software code was developed for the evaluation of turbulent fluxes and characteristic parameters governing the planetary boundary layer structure from elementary meteorological measurements. Results of an application of the software in the characterisation of the atmospheric boundary layer in the Antarctic region are shown and the reliability of the results was tested by means of a comparison with direct flux measurements obtained using the eddy correlation method.</t>
  </si>
  <si>
    <t>CNR, Inst FISBAT, I-40129 Bologna, Italy</t>
  </si>
  <si>
    <t>Tirabassi, T (corresponding author), CNR, Inst FISBAT, Via Gobetti 101, I-40129 Bologna, Italy.</t>
  </si>
  <si>
    <t>Tirabassi, Tiziano/AAE-8681-2020; Georgiadis, Teodoro/I-5666-2012; Georgiadis, Teodoro/AAH-4342-2019; Tirabassi, Tiziano/G-7815-2015</t>
  </si>
  <si>
    <t>Tirabassi, Tiziano/0000-0003-0266-599X; Georgiadis, Teodoro/0000-0002-3103-038X; Georgiadis, Teodoro/0000-0002-3103-038X;</t>
  </si>
  <si>
    <t>WOS:000079334200007</t>
  </si>
  <si>
    <t>Favaron, M; Fraternali, D; Sozzi, R; Georgiadis, T</t>
  </si>
  <si>
    <t>MeteoFlux: a data acquisition, processing and presentation system for eddy-covariance and turbulence measurements in the PBL Architecture designed for the Dome Concordia Experimental Campaign, 1997</t>
  </si>
  <si>
    <t>During the Antarctic summer 1997, an especially designed system of eddy-covariance measurements for the determination of the energy surface fluxes was deployed at the French-Italian Polar Station of Dome Concordia. The MeteoFlux system took data from January 20 to February 2 without malfunctioning in the very extreme environment of the antarctic Plateau. The philosophy of the data acquisition and the technical specifications of this station are here reported.</t>
  </si>
  <si>
    <t>Serv Terr SCR1, I-20092 Cinisello Balsamo, Italy</t>
  </si>
  <si>
    <t>Favaron, M (corresponding author), Serv Terr SCR1, Via Garibaldi 21, I-20092 Cinisello Balsamo, Italy.</t>
  </si>
  <si>
    <t>Georgiadis, Teodoro/I-5666-2012; Georgiadis, Teodoro/AAH-4342-2019</t>
  </si>
  <si>
    <t>Georgiadis, Teodoro/0000-0002-3103-038X; Georgiadis, Teodoro/0000-0002-3103-038X</t>
  </si>
  <si>
    <t>WOS:000079334200008</t>
  </si>
  <si>
    <t>Georgiadis, T; Bonafe', U; Trivellone, G; Sozzi, R; Favaron, M; Viola, A</t>
  </si>
  <si>
    <t>Surface roughness and turbulence patterns at Reeves Neve' Glacier</t>
  </si>
  <si>
    <t>BOUNDARY-LAYER</t>
  </si>
  <si>
    <t>This paper presents a study carried out on the Reeves Neve Glacier (74 degrees 39' S, 161 degrees 35' E) at 1200 m a.s.l.. The main aim of the study was to investigate how Local conditions influence the aerodynamic characteristics of the smooth surface as well as the turbulence patterns. The recorded atmospheric conditions in the ASL allowed us to obtain a detailed data-base in a stability sub-range often difficult to find for other experiments reported in literature. The surface roughness revealed a strong coupling with the fluidodynamic regime. Turbulence data obtained during stable conditions showed that the universal function Phi(w) cannot be considered constant and independent of the stability parameter z/L. The results obtained during neutral conditions allowed us to clearly evidence the vertical asymptotic trend of sigma(theta)/theta*, as expected by the similarity theory.</t>
  </si>
  <si>
    <t>Georgiadis, T (corresponding author), CNR, Ist Studio Fenomeni Fis &amp; Chim Bassa &amp; Alta Atmos, Via P Gobetti 101, I-40129 Bologna, Italy.</t>
  </si>
  <si>
    <t>Georgiadis, Teodoro/AAH-4342-2019; Georgiadis, Teodoro/I-5666-2012; viola, angelo p/C-7184-2015</t>
  </si>
  <si>
    <t>Georgiadis, Teodoro/0000-0002-3103-038X; Georgiadis, Teodoro/0000-0002-3103-038X;</t>
  </si>
  <si>
    <t>WOS:000079334200009</t>
  </si>
  <si>
    <t>Argentini, S; Dargaud, G; Mastrantonio, G; Viola, A; Georgiadis, T</t>
  </si>
  <si>
    <t>The Dome Concordia 1997 boundary layer experiment</t>
  </si>
  <si>
    <t>An experimental campaign has been carried out at the station of Dome Concordia during the 1997 Antarctic summer. One the objectives of the experiment was to test the prototype instrumentation especially designed for the very extreme environment of the Plateau. Along with the very successful results of the instrumental test an almost continuous collection of turbulence and radiation data was obtained for a period of about two weeks.</t>
  </si>
  <si>
    <t>CNR, IFA, I-00044 Frascati, Rm, Italy</t>
  </si>
  <si>
    <t>Argentini, S (corresponding author), CNR, IFA, Via G Galilei CP 27, I-00044 Frascati, Rm, Italy.</t>
  </si>
  <si>
    <t>Georgiadis, Teodoro/I-5666-2012; viola, angelo p/C-7184-2015; Georgiadis, Teodoro/AAH-4342-2019</t>
  </si>
  <si>
    <t>WOS:000079334200010</t>
  </si>
  <si>
    <t>Mangani, F; Maione, M; Lattanzi, L</t>
  </si>
  <si>
    <t>Monitoring of CFCs in Antarctic troposphere: 1988-1996</t>
  </si>
  <si>
    <t>OZONE DEPLETION; HALOCARBONS; CHLOROFLUOROCARBONS; CHLORINE</t>
  </si>
  <si>
    <t>Data concerning the determination of CFCs concentration levels in Antarctic troposphere will be presented. Information collected since the 1988/89 Antarctic campaign up to the 1995/96 campaign allowed to observe a change in the concentration trend of such compounds in a remote area stratosphere, as a consequence of the application of the rules laid down by the Montreal Protocol. The analyses were performed in gas chromatography with electron capture detection (GC-ECD), preceded by sample enrichment on suitable adsorbents.</t>
  </si>
  <si>
    <t>Univ Urbino, Ist Sci Chim, I-61029 Urbino, Italy</t>
  </si>
  <si>
    <t>University of Urbino</t>
  </si>
  <si>
    <t>Mangani, F (corresponding author), Univ Urbino, Ist Sci Chim, Piazza Rinascimento 6, I-61029 Urbino, Italy.</t>
  </si>
  <si>
    <t>WOS:000079334200011</t>
  </si>
  <si>
    <t>Masia, P; Ianniello, A; Ursini, CL; Allegrini, I</t>
  </si>
  <si>
    <t>Developments in sampling and analysis techniques of minor components in the Antarctic troposphere</t>
  </si>
  <si>
    <t>DENUDER; PERFORMANCE; ATMOSPHERE; AEROSOLS</t>
  </si>
  <si>
    <t>The need to obtain more detailed data on the chemical composition of remote atmospheres, led to the development of diffusion based techniques. To improve and extend such techniques to minor components, either gases and particles, a new experimental set up, consisting of two different denuder lines coupled to filters for sampling and analysis, has been developed. The first sampling line is suitable for acid gases and particulate pollutants. It allows the identification of species which are responsible of the transport of sulphur and nitrogen compounds in remote areas. The use of this line allowed the evaluation of ammonium compounds in particulate phase in equilibrium with gas phase and adsorbed components on particulate matter classified as coarse (2.5 mu m). The second sampling line incorporates of two alkaline carbon denuders. They show a very good sampling efficiency for nitrogen dioxide and organic nitrate compounds, such as PAN. The two lines are housed in the sampling unit which is controlled by two electronics samplers. At the end of the sampling, the lines are extracted with aqueous solutions and the collected species are analysed by ionic cromatography. The functional structures of the two lines and tests made in remote areas to evaluate its applicability are reported. Particular emphasis is given to the auto-consistency tests and to field blank limits. The results show that it is possible to obtain a sensibility of about ten ppt and a very high resolution among different species. It is also discussed the possibility to employ these techniques in Antarctic atmosphere to obtain very interesting informations about the oxidant capacity of troposphere, as well as about processes responsible of transport and deposition of atmospheric pollutants.</t>
  </si>
  <si>
    <t>CNR, Ist Inquinamento Atmosfer, I-00016 Monterotondo, Roma, Italy</t>
  </si>
  <si>
    <t>Masia, P (corresponding author), CNR, Ist Inquinamento Atmosfer, Via Salaria Km 29-300,CP10, I-00016 Monterotondo, Roma, Italy.</t>
  </si>
  <si>
    <t>Ianniello, A./B-5344-2015; allegrini, ivo/HJI-6081-2023</t>
  </si>
  <si>
    <t>Ianniello, A./0000-0003-2843-7135;</t>
  </si>
  <si>
    <t>WOS:000079334200012</t>
  </si>
  <si>
    <t>Masia, P; Ianniello, A; Sparapani, R; Allegrini, I</t>
  </si>
  <si>
    <t>Chemical evolution of nitrogen compounds in polar arctic troposphere</t>
  </si>
  <si>
    <t>The measurement of atmospheric nitrogen compounds is a very important step to understand the chemical and physical evolution of atmospheric pollutants in polar areas, particularly in Arctic. in fact, the presence of nitrogen oxides is responsible for photochemical oxidation processes with the formation of harmful compounds such as ozone, peroxyacetyl nitrate (PAN), nitrates and other minor components. Production of the nitrous acid and PAN is particularly important because they are responsible for the presence of nitrogen oxides in remote areas. Moreover, nitrous acid is also responsible for the formation of radical OH which is, as it is well known, is the most important reactive species for the chemical degradation of organic substances, thus controlling the atmosphere oxidation capacity. Some measurements of nitrogen compounds obtained in the Arctic area (Ny-Alesund, Svalbard Islands) are reported. Such measurements showed the presence of nitrous acid at remarkable quantities in gas phase and adsorbed on suspended particulate matter. Specifically, the equilibrium between nitrous acid in gas phase and particulate matter is strongly dependent upon the particles acidity. Acidity has been evidenced using an impactor and evaluating the ionic balance of collected particles. In acid aerosols, nitrous acid is adsorbed in particulate phase like nitric acid, which, in almost all cases, is mostly present in gas phase. The low amount of ammonia is responsible for the formation of sulphuric acidity in particulate matter. The comparison between sampling methods employing diffusion denuders and impactors in polar areas as well as a critical discussion on their applicability are reported.</t>
  </si>
  <si>
    <t>Masia, P (corresponding author), CNR, Ist Inquinamento Atmosfer, Via Salaria Km,29300-CP10, I-00016 Monterotondo, Roma, Italy.</t>
  </si>
  <si>
    <t>allegrini, ivo/HJI-6081-2023; Ianniello, A./B-5344-2015</t>
  </si>
  <si>
    <t>Ianniello, A./0000-0003-2843-7135</t>
  </si>
  <si>
    <t>WOS:000079334200013</t>
  </si>
  <si>
    <t>Bonino, G; Longhetto, A; Forza, R</t>
  </si>
  <si>
    <t>Analysis of the thermal profiles measured by the metric RASS at Plateau Rosa</t>
  </si>
  <si>
    <t>Measurements of the temperature vertical profiles of the Atmospheric Boundary Layer (ABL) can be profitably obtained by a metric Radio Acoustic Sounding System (RASS). In the frame of the Programma Nazionale di Ricerche in Antartide (PNRA) we proposed the monitoring of the ABL in Antarctica by a metric RASS. A rugged version of this system, suitable for operation in severe weather conditions, has been installed in the Alpine region at Plateau Rosa (3500 m a.s.l.). There, the metric RASS is operating in atmospheric conditions of low temperatures and strong winds similar to those of the Antarctic ABL. We present results obtained in different day-time periods and seasons.</t>
  </si>
  <si>
    <t>Univ Turin, Dipartimento Fis Gen, I-10125 Turin, Italy</t>
  </si>
  <si>
    <t>University of Turin</t>
  </si>
  <si>
    <t>Bonino, G (corresponding author), Univ Turin, Dipartimento Fis Gen, Via P Giuria 1, I-10125 Turin, Italy.</t>
  </si>
  <si>
    <t>WOS:000079334200014</t>
  </si>
  <si>
    <t>Chiminello, F; Mittner, P; Ceccato, D</t>
  </si>
  <si>
    <t>Elemental ratios and enrichment factors in the tropospheric aerosol at Terra Nova Bay: methods of analysis and results for the coarse fraction, a progress report</t>
  </si>
  <si>
    <t>The set of elemental concentration data (for Na, Mg, Cl, S, Ca, k, Si, Mn, Fe) corresponding to coarse fraction aerosol samples collected at Terra Nova Bay (Antarctica) during the 1993/94 summer season(1,2,3), as well as the results of their PCA analysis are considered. The problem of representing satisfactorily with a limited number of PCs, not only most of the total variance, but also the elemental concentrations, as well as the value of the S/Ca ratio, is considered. A method is presented, based on the notion of virtual concentration, which allows to conclude that the use of a minor PC (PC2) (to which both S and Ca are correlated) is needed. PC2 appears marine in origin and is used, jointly with PC0 (sea salt) component to evaluate the overall enrichment factors of elements S, Ca and K (2.48, 0.91, 3.54 respectively) with respect to the standard oceanic water composition. A possible interpretation of this results by means of a comparison with data of a single particle analysis(4) of samples collected in the Antarctic Peninsula is presented. No evidence of enrichment for the crustal elements Si, Mn,Fe is found in the marine components.</t>
  </si>
  <si>
    <t>Univ Padua, Dipartimento Fis Galileo Galilei, I-35100 Padua, Italy</t>
  </si>
  <si>
    <t>University of Padua</t>
  </si>
  <si>
    <t>Chiminello, F (corresponding author), Univ Padua, Dipartimento Fis Galileo Galilei, V Marzolo 8, I-35100 Padua, Italy.</t>
  </si>
  <si>
    <t>WOS:000079334200015</t>
  </si>
  <si>
    <t>Mittner, P; Chiminello, F; Ceccato, D; Schiavuta, E; Buso, P; Mazza, M; Bombi, GG; Maccà, C</t>
  </si>
  <si>
    <t>Tropospheric aerosol at Terra Nova Bay (Antarctica):: recent results of a systematic study during the summer season</t>
  </si>
  <si>
    <t>Three systematic aerosol sampling campaigns (93/94, 94/95, 95/96) have been carried out during the months November to February, with a 12h time resolution and dimensional separation of the fine (FF, Phi(aer) less than or equal to 2 mu m) and coarse (CF) fractions. Multielemental PIXE analysis combined with PCA (principal component analysis) allows separation of 5 principal components (PC): sea salt tin both FF and (CF); crustal (FF and CF) and Sulphur (FF). For each PC the time distribution of a particular tracer element is presented. These distributions display several significant peaks (episodes) and will be used in a study of aerosol production and transport processes. Elemental profiles are also presented. They allow the geochemical interpretation of the PC's and are relevant for a study of chemical and physical-chemical interactions of the aerosol. Some PC's display intraseasonal intensity variations and/or variations between the different campaigns. Sulphur FF displays (in particular in 93/94) a strong intraseasonal increase, which may be connected with the change of environmental parameters such as radiation flux and sea ice coverage.</t>
  </si>
  <si>
    <t>Univ Padua, Dipartimento Fis G Galilei, I-35123 Padua, Italy</t>
  </si>
  <si>
    <t>Mittner, P (corresponding author), Univ Padua, Dipartimento Fis G Galilei, Via Marzolo 8, I-35123 Padua, Italy.</t>
  </si>
  <si>
    <t>WOS:000079334200016</t>
  </si>
  <si>
    <t>Cava, D; Giostra, U; Trombetti, F; Tagliazucca, M</t>
  </si>
  <si>
    <t>Spectral characteristics of waves and turbulence in a stable boundary layer</t>
  </si>
  <si>
    <t>SURFACE-LAYER; FLOW; TERRAIN</t>
  </si>
  <si>
    <t>Turbulence measurements have been performed in Antarctica on the Nansen Ice Sheet, a permanently frozen branch of the Ross Sea bordered by mountains rapidly rising toward the plateau. Spectral analysis of wind velocity and temperature fluctuations has been performed by Fast Fourier Transforms to investigate how and at what scales the stable boundary layer is perturbed by the orographic forcing and by the propagation of gravity waves. Taking into account reference spectra obtained over a uniform and flat surface (Kaimal et al. 1972), it has been observed that: - orographic complexities, as well gravity waves, leave unaffected the inertial subrange; - horizontal velocity components, due to the orographic forcing, display an energy increment in the mid and low frequency subranges; this effect is less marked in the vertical component; - in complex orography the maximum of turbulent energy is shifted towards lower frequencies and the corresponding wavelength, being roughly equal to the height of the slope, is the scaling parameter of the up-stream flow fall; - gravity waves propagation in a strongly stable boundary layer results in a secondary energy maximum displaying a spectral shape predicted by similarity hypotheses. The wave contribute is confirmed by wave activity indicators; - often in mid stable or near neutral conditions a single or multiple, quite flat and broaden, energy maxima are generated by strong non-linear interactions of waves with turbulence. Wave indicators are not able to give an univocal response because, in the energy transfer process, waves loose their peculiar properties.</t>
  </si>
  <si>
    <t>CNR, Lab ISIATA, I-73100 Lecce, Italy</t>
  </si>
  <si>
    <t>Cava, D (corresponding author), CNR, Lab ISIATA, SP Lecce Monteroni Km 1-2, I-73100 Lecce, Italy.</t>
  </si>
  <si>
    <t>Cava, Daniela/H-7576-2018; Cava, Daniela/B-8328-2015; GIOSTRA, Umberto/JQV-7857-2023</t>
  </si>
  <si>
    <t>Cava, Daniela/0000-0003-0676-3749; Cava, Daniela/0000-0003-0676-3749; GIOSTRA, Umberto/0000-0001-8399-8715</t>
  </si>
  <si>
    <t>WOS:000079334200017</t>
  </si>
  <si>
    <t>Lavagnini, A; Sempreviva, AM</t>
  </si>
  <si>
    <t>Some characteristics of the surface layer turbulence at Hells Gate, Terra Nova Bay, from the analysis of two summer campaigns</t>
  </si>
  <si>
    <t>WIND</t>
  </si>
  <si>
    <t>In the frame of the Italian Antarctic Programme, two intensive experimental campaigns have been carried out during 1995. The location is Hells Gate, an ice shelf around 20 lan from the Italian base of Terra Nova Bay. Three measuring points have been installed from the line of the continental ice up to 6 km inland in the central part of this area. The stations were operative during the following periods: from 20 January to 9 February 1995 and from 15 November 1995 to 10 January 1996. The objective has been to evaluate turbulent surface fluxes in different now regimes and to study the spatial variation of turbulence from the cost to inland. In this paper, we present some features of turbulence in the area and the characteristics of spectra calculated for different stability conditions. The analysis has been performed only on the data collected at the central mast.</t>
  </si>
  <si>
    <t>Lavagnini, A (corresponding author), CNR, Ist Fis Atmosfera, Via Fosso Cavaliere, I-00133 Rome, Italy.</t>
  </si>
  <si>
    <t>Sempreviva, Anna Maria/AAE-3093-2020</t>
  </si>
  <si>
    <t>WOS:000079334200018</t>
  </si>
  <si>
    <t>Sempreviva, AM; Lavagnini, A; Forza, R</t>
  </si>
  <si>
    <t>Stable flow features in Antarctica: A case study</t>
  </si>
  <si>
    <t>PLANETARY BOUNDARY-LAYER; INTERNAL GRAVITY-WAVE</t>
  </si>
  <si>
    <t>During the third period of the 10th expedition, from 20 January to 8 February 1995, an intensive measurement campaign has been carried out at Hells Gate, an ice sheet around 15 km west to the Italian base of Terra Nova Bay. The purpose of this campaign was the evaluation of the turbulent surface fluxes by using fast response instruments. The study was finalised to understand the spatial variation of turbulence from the cost to inland and turbulent fluxes in cases of strong stability or under the katabatic flow regimes. Here we show some flow features detected during a period of strong atmospheric stability before the onset of a katabatic wind regime. Furthermore we present a short review of previous studies on the area. New data from two stations five kilometres faraway from each other in apparent unperturbed position are considered. Time series of wind components and temperature from the two stations sometime showed different features during strong stability. In a companion paper (Lavagnini and Sempreviva; these proceedings), flow features and time series spectra obtained under different stratification are compared.</t>
  </si>
  <si>
    <t>CNR, Ist Fis Atmosfera, Rome, Italy</t>
  </si>
  <si>
    <t>Sempreviva, AM (corresponding author), CNR, Ist Fis Atmosfera, Rome, Italy.</t>
  </si>
  <si>
    <t>WOS:000079334200019</t>
  </si>
  <si>
    <t>Ferrarese, S; Bertoni, D; Cassardo, C; Ficca, G; Forza, R; Longhetto, A; Pangia, M; Purini, R</t>
  </si>
  <si>
    <t>Vertical exchange of heat energy in the surface layer of Antarctic atmosphere</t>
  </si>
  <si>
    <t>State and evolution of the thermal properties of atmospheric boundary layers at the air/ice interface under non stationary conditions can be studied by analyzing the vertical transfer of heal energy (sensible and latent components) as a function of different atmospheric forcings (wind, temperature, solar radiation). To this end, a prognostic enthalpy balance model, whose input data was the information collected during the XII Southern-Summer Antarctic Expedition at Terra Nova Bay (1996-97), has been used to evaluate the relative role of the different terms of the heat energy budget under different meteorological conditions, ranging from moderate breeze to katabatic wind episodes. The data were collected at two locations, 2.6 km apart from each other, of Hells Gate iee shelf (inner mast: 74 degrees 51' 3.7S, 163 degrees 47' 2.8E; coastal mast: 74 degrees 52' 20.2S, 163 degrees 49' 6.4E) and refer to an uninterrupted period of four weeks, from December 15,1996 to January 16,1997. An unbalance has been found in the heat energy budget (made up by vertical divergences of net radiation and sensible and latent heat flux, thermal advection and local heating/cooling rate, evaluated at the same time), whose interpretation needs further investigation.</t>
  </si>
  <si>
    <t>Univ Alessandria, Dipartimento Sci &amp; Tecnol Avanzate, Alessandria, Italy</t>
  </si>
  <si>
    <t>University of Eastern Piedmont Amedeo Avogadro</t>
  </si>
  <si>
    <t>Ferrarese, S (corresponding author), Univ Alessandria, Dipartimento Sci &amp; Tecnol Avanzate, Alessandria, Italy.</t>
  </si>
  <si>
    <t>Cassardo, Claudio/JQR-6630-2023</t>
  </si>
  <si>
    <t>Cassardo, Claudio/0000-0001-5212-3211</t>
  </si>
  <si>
    <t>WOS:000079334200020</t>
  </si>
  <si>
    <t>Qian, MW; Longhetto, A; Ferrarese, S; Cassardo, C; Luo, WD; Zhao, YJ; Hong, ZX</t>
  </si>
  <si>
    <t>Relationships between stress cospectral features and momentum flux in Antarctic Pole (Terra Nova Bay) and Xianghe (Beijing)</t>
  </si>
  <si>
    <t>REYNOLDS-NUMBER; TURBULENT</t>
  </si>
  <si>
    <t>The turbulent velocity components in surface layer of atmosphere were measured in Antarctic Pole (Terra Nova Bay) with sonic anemometers. A lot of abnormal stress cospectra were detected during the periods when momentum flux sharply decreases while the power spectra show normal. To our knowledge, this is the first time that the abnormal cospectra appear in the atmospheric surface layer in combination with the above mentioned phenomenon. A similar phenomenon could also be detected when the data observed in Xianghe (Beijing) is processed. Since the abnormality of cospectra happens only in the high frequency region, it becomes a challenge to understand why the small eddies have so great influence on the momentum flux.</t>
  </si>
  <si>
    <t>Chinese Acad Sci, Inst Atmospher Phys, LAPC, Beijing, Peoples R China</t>
  </si>
  <si>
    <t>Chinese Academy of Sciences; Institute of Atmospheric Physics, CAS</t>
  </si>
  <si>
    <t>Qian, MW (corresponding author), Chinese Acad Sci, Inst Atmospher Phys, LAPC, Beijing, Peoples R China.</t>
  </si>
  <si>
    <t>WOS:000079334200021</t>
  </si>
  <si>
    <t>Giovanelli, G; Bonasoni, P; Colombo, T; Lenaz, R; Ori, C</t>
  </si>
  <si>
    <t>Spatial temporal trend of CO2 and O3 concentration values recorded from the Mediterranean sea to the Antarctica:: Ship-board results</t>
  </si>
  <si>
    <t>ATMOSPHERIC CO2; SURFACE OZONE; ATLANTIC; PACIFIC</t>
  </si>
  <si>
    <t>During the 10(th) and 12(th) Antarctic Expeditions on board the ships RN OGS Explora and M/N Italica, continuous measurements of surface ozone and carbon dioxide concentration values were recorded. The route crossed the Mediterranean, Atlantic Ocean and Bellingshausen Sea during the first cruise, then through the Mediterranean and Red Seas, Indian and Southern Oceans, arriving at the Italian station in Terra Nova Bay (Antarctica) in the second cruise. The results show O-3 and CO2 latitudinal trends in agreement with similar observations obtained during a preceding cruise. In the two hemispheres O-3 and CO2 average values were obtained of about 15-30 ppb and 360-364 ppm, respectively. The comparison between previous CO2 data recorded over 15 years at Antarctica stations (Palmer St. and South Pole St.) and the data recorded on board reveals them to be in trend by more than 1 ppm/yr. The ozone data were measured by a probe-equipped Dasibi RS1003 UV-absorber analyser, installed under a protective bell on the flying bridge. The CO2 data were detected by a SIEMENS ULTRAMAT 5E analyser, mounted in a thermostatic box fitted on shock-absorbing supports, connected to a two-stage freezing unit that can sustain a temperature as low as -55 degrees C and consequently dehumidify the air sampled. Both CO2 and O-3 data were processed filtering out the measurements carried out when the wind was blowing from the funnel and from continental areas. The CO2 values were further smoothed with a 1 hour moving average.</t>
  </si>
  <si>
    <t>CNR, Inst FISBAT, I-40126 Bologna, Italy</t>
  </si>
  <si>
    <t>Giovanelli, G (corresponding author), CNR, Inst FISBAT, I-40126 Bologna, Italy.</t>
  </si>
  <si>
    <t>Bonasoni, Paolo/C-6338-2015</t>
  </si>
  <si>
    <t>WOS:000079334200022</t>
  </si>
  <si>
    <t>Tomasi, C; Vitale, V</t>
  </si>
  <si>
    <t>Calculation of the relative optical mass functions for air, water vapour, ozone and nitrogen dioxide in the Antarctic and Arctic atmospheres</t>
  </si>
  <si>
    <t>SUN PHOTOMETRY; EXTINCTION; TURBIDITY; REGION</t>
  </si>
  <si>
    <t>The use of precise values of the relative optical mass parameters for air, water vapour, ozone and nitrogen dioxide is of crucial importance in the multispectral sun-photometry method, when this is applied to measurements taken for atmospheric transparency conditions characterised by small values of the aerosol optical depth. It is well known that all the relative optical mass functions considerably depend on the vertical distribution features of air temperature in the low troposphere, as well as on the vertical profiles of the mass concentrations of water vapour, ozone and nitrogen dioxide, when the zenith angle of the Sun assumes higher values than 65 degrees. Therefore, examining a large set of measurements taken in the Antarctic and Arctic regions, we defined two atmospheric models, the first from measurements taken during the January period at the Terra Nova Bay station (about 75 degrees S latitude) and the second relative to the July period at 75 degrees N latitude. These models give the vertical profiles of air temperature, absolute humidity, ozone partial pressure and NO2 partial pressure, from sea level to the height of 100 km. Using the computer code LOWTRAN 7 for the two models, we calculated the values of the four optical mass functions for thirty values of the solar zenith angle in the 0 degrees to 87 degrees interval, the range commonly used in analysing multispectral sun-photometer measurements. The results are compared with those obtained using the formulas proposed for standard conditions of the atmosphere by Kasten (air and water vapour) and Young (ozone and nitrogen dioxide), showing that our evaluations are particularly suitable for use in high-latitude regions, corresponding to solar zenith angles higher than 65 degrees.</t>
  </si>
  <si>
    <t>CNR, Ist Fisbat, I-40129 Bologna, Italy</t>
  </si>
  <si>
    <t>Tomasi, C (corresponding author), CNR, Ist Fisbat, Via Gobetti 101, I-40129 Bologna, Italy.</t>
  </si>
  <si>
    <t>vitale, vito/AAW-8441-2021</t>
  </si>
  <si>
    <t>vitale, vito/0000-0003-0978-8976</t>
  </si>
  <si>
    <t>WOS:000079334200023</t>
  </si>
  <si>
    <t>Gobbi, GP</t>
  </si>
  <si>
    <t>Modeling optical properties of mixed-phase polar stratospheric clouds in late winter conditions</t>
  </si>
  <si>
    <t>Results of simulations performed by means of a numerical model designed to describe the microphysics and the optical properties of polar stratospheric clouds along a given temperature history are presented. Environmental conditions addressed here are representative of a denitrified and dehydrated polar stratosphere. Two different cooling rates allow to study both fully and selectively nucleated (mixed-phase) aerosols. Surface area, molecular content, backscatter and depolarization ratios of both liquid and solid external components of the aerosol will be described in various stratospheric conditions. Discussion of results will address optical properties of polar stratospheric clouds in late winter conditions and the analysis of their phase and composition on the basis of optical observations made by polarization lidar operating at 532 nn.</t>
  </si>
  <si>
    <t>Gobbi, GP (corresponding author), CNR, Ist Fis Atmosfera, Rome, Italy.</t>
  </si>
  <si>
    <t>WOS:000079334200024</t>
  </si>
  <si>
    <t>Guzzi, D; Stefanutti, L; Castagnoli, F; DelGuasta, M; Morandi, M</t>
  </si>
  <si>
    <t>Six-year aerosols and PSCs measurements at Dumont D'Urville (Antarctica)</t>
  </si>
  <si>
    <t>POLAR STRATOSPHERIC CLOUDS; LIDAR OBSERVATIONS; MOUNT-PINATUBO</t>
  </si>
  <si>
    <t>Since 1989, a backscattering lidar has been operating at the Antarctic station of Dumont D'Urville. It carried out year-round lidar measurements from January 1989 on (more than two years earlier than the Pinatubo eruption) monitoring the changes of the stratospheric aerosol loading and PSCs evolution above the site. Lidar measurements are still in progress. In 1989 and 1990, a large statistical set of measurements of background aerosols was collected. Data available for 1991 (when the Pinatubo eruption occurred) were not used, since a strong non-linearity affected the lidar returns. In any case, a large set of volcanic aerosol data was collected from 1992 to 1996. The data elaborated from 1989 to 1996 have provided us with a six-year climatology for PSCs and stratospheric aerosols. With regard to the evolution of Polar Stratospheric Clouds during the entire year, the mid-cloud altitude and temperature, cloud top and bottom, and the optical parameters such as backscattering and depolarization for each cloud layer, were evaluated. The evolution of these parameters with time, altitude and temperature was reported.</t>
  </si>
  <si>
    <t>CNR, IROE, I-50127 Florence, Italy</t>
  </si>
  <si>
    <t>Guzzi, D (corresponding author), CNR, IROE, Via Panciatichi 64, I-50127 Florence, Italy.</t>
  </si>
  <si>
    <t>guzzi@iroe.iroe.fi.cnr.it</t>
  </si>
  <si>
    <t>WOS:000079334200025</t>
  </si>
  <si>
    <t>Ciattaglia, L</t>
  </si>
  <si>
    <t>First 3 years of atmospheric CO2 concentrations measurements at Jubany station:: characteristics, growth rate and relationship with the origin of air masses.</t>
  </si>
  <si>
    <t>The Italian National Research Program in Antarctica (PNRA) of Italy started a new site for the continuous measurement of atmospheric carbon dioxide in 1994 at Jubany in the South Shetland archipelago. The Laboratory is operated under an agreement with the Argentine Antarctic Department (DNA). The site is a marine type environment in a bay (Potter Bay) surrounded mostly by permanent glaciers which terminate at the sea. The number of people overwintering on the main island (King George island) on the average 180 person,and increases to 250-300 during the summer. King George island is site of many stations of different nations, and is probably the most densely inhabitated antarctic site. Nevertheless the station can be defined as very remote from any of anthropogenic or vegetated sources and sinks. The strong wind regime, typical of Drake passage, dominate the local meteorology with calm conditions in the order of a few percent. The whole data set since beginning in February 1994 to the end of 1996 is examined. The hourly and daily averages of CO2 concentrations at Jubany show behaviours and characteristics like diurnal variability, seasonal oscillation and annual growth rate similar to the ones of other sampling sites in the antarctic peninsula area. The criteria adopted in the selection of data are detailed and the results of first 3 years of measurements are presented. The selection of the data is based first on the standard deviation of the concentration during the sampling phase (typically 1 hour), then on the wind direction and speed and finally on the steadiness of the values during the day. The amount of data which are accepted, and identified as background conditions is quite high, in the order of 80 %. This allows us to rely on the representativeness of the station - at least for the antarctic peninsula area - for the measurement of atmospheric carbon dioxide. Recently large ice patches have torn away from the Antarctic peninsula which some claim to be the result climatic warming. A monitoring program like the one running at Jubany could be very useful for understanding the process of glacier formation and reduction and its relationship to the greenhouse effect.</t>
  </si>
  <si>
    <t>Ciattaglia, L (corresponding author), CNR, Ist Fis Atmosfera, Rome, Italy.</t>
  </si>
  <si>
    <t>WOS:000079334200026</t>
  </si>
  <si>
    <t>Anav, RCA; Moriconi, ML; Di Menno, I; Di Menno, M; Valenti, C; Iturraspe, R</t>
  </si>
  <si>
    <t>Radiometric and spectral UV measurements in Ushuaia</t>
  </si>
  <si>
    <t>It was carried out a monitoring campaign with spectrophotometer Brewer and Global, W-A and W-B, radiometers to study the UV solar radiation sampled by the spectroradiometer SW 100 and the Brewer within the limits of the bilateral agreement, named IUVECOM, between the Istituto di Fisica del-l'Atmosfera and the Centro Austral de Investigaciones Cientifica of Ushuaia, Prov. di Tierra del Fuego Argentina, The paper shows the preliminary results of the campaign. It is shown the trend of r.m.s. of the regression between the values of irradiance and the solar zenith angle. It is tempted an explanation of the dual trend founded by the type of cloud covering.</t>
  </si>
  <si>
    <t>Anav, RCA (corresponding author), CNR, Ist Fis Atmosfera, Area Ric Roma Vergata, Rome, Italy.</t>
  </si>
  <si>
    <t>moriconi, maria luisa/B-7201-2009</t>
  </si>
  <si>
    <t>moriconi, maria luisa/0000-0003-2609-2620</t>
  </si>
  <si>
    <t>WOS:000079334200027</t>
  </si>
  <si>
    <t>Adriani, A; Di Donfrancesco, G; Cairo, F</t>
  </si>
  <si>
    <t>Polar stratospheric clouds occurrence at McMurdo Station, 78S, 167E, in the period 1993-1995.</t>
  </si>
  <si>
    <t>OZONE HOLE; DENITRIFICATION; DEPLETION; PARTICLES; LIDAR; HNO3</t>
  </si>
  <si>
    <t>A lidar system has operating at McMurdo Station on yearly basis since 1993. In this paper the first statistics on PSCs above that site for years from 1993 to 1995 is presented. The statistics gives a maximum of occurrence above 60 % at pressure levels of 20 hPa. The polar stratospheric clouds have been divided in two separate classes according to their depolarisation characteristics. The statistics shows those classes well separated in terms of altitudes temperatures and periods of occurrence.</t>
  </si>
  <si>
    <t>IFA, CNR, I-00133 Rome, Italy</t>
  </si>
  <si>
    <t>Adriani, A (corresponding author), IFA, CNR, Via Fosso Cavaliere, I-00133 Rome, Italy.</t>
  </si>
  <si>
    <t>WOS:000079334200028</t>
  </si>
  <si>
    <t>Storini, M; Signoretti, F; Massetti, S; Re, F; Zangrilli, N; Signorini, C; Cordaro, EG; Olivares, E; Iucci, N; Parisi, M</t>
  </si>
  <si>
    <t>LARC towards the new century</t>
  </si>
  <si>
    <t>A standard super neutron monitor (6-NM-64 type - IQSY detector) is operating on the Antarctic ground (South Shetlands - King George Island Fildes Bay - Ardley Cove) of the Latin-American sector. General features connected with LARC (Antarctic Laboratory for Cosmic Rays) evolution in time are discussed in the frame of Solar-Terrestrial Physics.</t>
  </si>
  <si>
    <t>Univ Roma Tre, Dipartimento Fis, I-00146 Rome, Italy</t>
  </si>
  <si>
    <t>Roma Tre University</t>
  </si>
  <si>
    <t>Storini, M (corresponding author), Univ Roma Tre, Dipartimento Fis, Via Vasca Navale 84, I-00146 Rome, Italy.</t>
  </si>
  <si>
    <t>Massetti, Stefano/HMP-1275-2023</t>
  </si>
  <si>
    <t>Massetti, Stefano/0000-0002-7767-1334</t>
  </si>
  <si>
    <t>WOS:000079334200029</t>
  </si>
  <si>
    <t>Massetti, S; Storini, M; Cordaro, EG</t>
  </si>
  <si>
    <t>Barometric effects on LARC data</t>
  </si>
  <si>
    <t>An Antarctic Laboratory for Cosmic Rays (LARC) is operating on King George Island (South Shetlands) since January 19, 1991. Data for 1991 - 1996 are now available thank to collaborative efforts of the University of Chile and IFSI/CNR. The yearly attenuation (barometric) coefficient for the nucleonic component registered by LARC (Fildes Bay - Ardley Cove) were estimated, using different techniques, for the descending phase of sunspot cycle n. 22.</t>
  </si>
  <si>
    <t>Massetti, S (corresponding author), IFSI, CNR, Via Fosso Cavaliere, I-00133 Rome, Italy.</t>
  </si>
  <si>
    <t>WOS:000079334200030</t>
  </si>
  <si>
    <t>Perrone, L; De Santis, A; De Franceschi, G</t>
  </si>
  <si>
    <t>Non-linear analysis of riometric data recorded at Terra Nova Bay, Antarctica</t>
  </si>
  <si>
    <t>A project within the ItaliAntartide Program (PNRA) was dedicated to the installation and running two riometers in the Italian Antarctic Base station of Terra Nova Bay for monitoring the cosmic noise by which the ionospheric absorption of the lower layers of the Antarctic ionosphere can be derived. The data accumulated after four expeditions (1993/94 to 1996/97) have been used to depict both local and general scenarios of the typical ionospheric absorption over Antarctica. The data were also compared with geomagnetic observations acquired locally and also with global indices of magnetospheric activity. A non-linear analysis was then applied to riometric and geomagnetic data in order to extract their regular daily variation and to study their behaviour during particularly disturbed periods. The successive steps of application and the corresponding results are here shown and discussed.</t>
  </si>
  <si>
    <t>Ist Nazl Geofis, I-00143 Rome, Italy</t>
  </si>
  <si>
    <t>Istituto Nazionale Geofisica e Vulcanologia (INGV)</t>
  </si>
  <si>
    <t>Perrone, L (corresponding author), Ist Nazl Geofis, Via Vigna Murata 605, I-00143 Rome, Italy.</t>
  </si>
  <si>
    <t>WOS:000079334200031</t>
  </si>
  <si>
    <t>Consolini, G; De Michelis, P; Meloni, A; Cafarella, L; Candidi, M</t>
  </si>
  <si>
    <t>Levy-stable probability distribution of magnetic field fluctuations at Terra Nova Bay (Antarctica)</t>
  </si>
  <si>
    <t>MAGNETOSPHERIC DYNAMICS; BICOLORED NOISE; AE DATA; DIFFUSION; MEDIA</t>
  </si>
  <si>
    <t>The probability distribution functions (PDFs) of short time-scale magnetic field fluctuations were evaluated for Terra Nova Bay (TNB) data, relative to December 1993-January 1994. It is found that short-time field fluctuations are not Gaussian distributed. An anomalous scaling of the probability of return P(0) is found for the smaller scales, and is connected to a Levy regime. Moreover, we discuss the Levy stable character of the magnetic fluctuations probability distribution function (PDF) as due to an anomalous diffusion process of magnetospheric plasma. The relevance of these observations for the understanding of magnetospheric plasma transport processes and ionospheric dynamo is pointed out.</t>
  </si>
  <si>
    <t>CNR, Ist Fis Spazio Interplanetario, I-00133 Rome, Italy</t>
  </si>
  <si>
    <t>Consiglio Nazionale delle Ricerche (CNR); Istituto Nazionale Astrofisica (INAF)</t>
  </si>
  <si>
    <t>Consolini, G (corresponding author), CNR, Ist Fis Spazio Interplanetario, I-00133 Rome, Italy.</t>
  </si>
  <si>
    <t>Cafarella, Lili/HTO-5890-2023</t>
  </si>
  <si>
    <t>CONSOLINI, Giuseppe/0000-0002-3403-647X</t>
  </si>
  <si>
    <t>WOS:000079334200032</t>
  </si>
  <si>
    <t>Ballatore, P; Maclennan, CG; Engebretson, MJ</t>
  </si>
  <si>
    <t>A new geomagnetic index for Antarctic latitudes</t>
  </si>
  <si>
    <t>ELECTROJET INDEXES</t>
  </si>
  <si>
    <t>In the southern hemisphere, because of geographic limits, only sparse ground based information is available from auroral latitudes; thus, a southern AE index cannot be derived that is comparable to the northern hemisphere AE index. The only Antarctic geomagnetic index that is available for all UT times is the PC index, which is derived from one single station. Recently a new southern high latitude index denoted AES-80 has been derived from magnetic field data obtained at a set of Antarctic stations near 80 degrees corrected geomagnetic latitude. Some results related to the relationship among AES-80, AE and northern PC index are briefly shown in the present paper. In particular the correlation between AES-80 and AE is higher than the correlation between AE and the northern PC index; in addition the correlation between AES-80 and AE is found to be good at all UT times. These observations are interpreted to support the usefulness of the new index AES-80 to monitor geomagnetic activity in Antarctica.</t>
  </si>
  <si>
    <t>CNR, IFSI, I-00133 Rome, Italy</t>
  </si>
  <si>
    <t>Ballatore, P (corresponding author), CNR, IFSI, Via Fossa Cavaliere, I-00133 Rome, Italy.</t>
  </si>
  <si>
    <t>WOS:000079334200033</t>
  </si>
  <si>
    <t>Consolini, G; Marcucci, MF; Candidi, M; Bellucci, G; Ozu, RS</t>
  </si>
  <si>
    <t>Preliminary results of the Italian auroral All-Sky Camera at General Belgrano II, Antarctica</t>
  </si>
  <si>
    <t>Auroral phenomena are the visible signature of the energy transfer from the solar wind to the Earth's atmosphere. Ground based optical observations of auroral events are performed by a camera at 180 degrees field of view: the All-Sky Camera (ASC). In the framework of an Italian-Argentinian scientific cooperation, involving the Italian PNRA, IFSI-CNR, and the Argentinian Instituto Antartico Argentino - Departamento Ciencias de la Atmosfera, an AH-Sky Camera system was installed at the Argentinian General Belgrano II Base to observe auroral displays during the 1995 antarctic winter. The Italian ASC is an imaging system equipped with a 512x384 Charge Coupled Device (CCD) and a filter wheel housing three filters in order to provide spectral images at 630.0 nm, 557.7 nm and 427.8 nm. The ASC instrument is capable of acquiring an image per minute. Here, we present the preliminary results of the 1995 Antarctic campaign.</t>
  </si>
  <si>
    <t>CNR, Ist Fis Spazio Interplanetario, Rome, Italy</t>
  </si>
  <si>
    <t>Consolini, G (corresponding author), CNR, Ist Fis Spazio Interplanetario, Rome, Italy.</t>
  </si>
  <si>
    <t>Marcucci, Maria federica/HNJ-5276-2023</t>
  </si>
  <si>
    <t>WOS:000079334200034</t>
  </si>
  <si>
    <t>Biagioni, S; Carlesi, C; Salvetti, O; Spoto, V</t>
  </si>
  <si>
    <t>A new graphic user interface to the South Pole Information System</t>
  </si>
  <si>
    <t>Italian Natl Res Council, Inst Informat Proc, Pisa, Italy</t>
  </si>
  <si>
    <t>Biagioni, S (corresponding author), Italian Natl Res Council, Inst Informat Proc, Pisa, Italy.</t>
  </si>
  <si>
    <t>Salvetti, Ovidio/C-4891-2015</t>
  </si>
  <si>
    <t>WOS:000079334200035</t>
  </si>
  <si>
    <t>Zdzitowiecki, K</t>
  </si>
  <si>
    <t>Helicometra pisanoae sp n (Digenea, Opecoelidae), a parasite of a fish, Trematomus hansoni, in the eastern Antarctic</t>
  </si>
  <si>
    <t>ACTA PARASITOLOGICA</t>
  </si>
  <si>
    <t>Helicometra pisanone sp. n. (Digenea, Opecoelidae) is described based on adult specimens from a fish, Trematomus hansoni (Nototheniidae) caught at the Adelie Land (Eastern Antarctic). The newly described species belongs to the group of species with the terminal, infundibuliform. oral sucker. The other diagnostic features are: the sucker ratio based on mean diameter 1:0.84-1.02, blind intestinal caeca, the genital pore closely anterior to the intestinal bifurcation, the cirrus sac reaching posteriorly to the level of posterior half of the ventral sucker and the vitelline follicles reaching to the level of the ventral sucker.</t>
  </si>
  <si>
    <t>Polish Acad Sci, W Stefanski Inst Parasitol, PL-00818 Warsaw, Poland</t>
  </si>
  <si>
    <t>Zdzitowiecki, K (corresponding author), Polish Acad Sci, W Stefanski Inst Parasitol, Twarda 51-55, PL-00818 Warsaw, Poland.</t>
  </si>
  <si>
    <t>WITOLD STEFANSKI INST PARASITOLOGY</t>
  </si>
  <si>
    <t>WARSAW</t>
  </si>
  <si>
    <t>L. PASTEURA 3, S.P. 153, 00-073 WARSAW, POLAND</t>
  </si>
  <si>
    <t>1230-2821</t>
  </si>
  <si>
    <t>ACTA PARASITOL</t>
  </si>
  <si>
    <t>Acta Parasitolog.</t>
  </si>
  <si>
    <t>JAN</t>
  </si>
  <si>
    <t>Parasitology; Veterinary Sciences; Zoology</t>
  </si>
  <si>
    <t>ZF744</t>
  </si>
  <si>
    <t>WOS:000072928600005</t>
  </si>
  <si>
    <t>Van As, LL; Basson, L; Van As, JG</t>
  </si>
  <si>
    <t>Two new species of Mantoscyphidia Jankowski, 1980 (Ciliophora: Peritrichia) gill symbionts of limpets, from South Africa and the Sub-Antarctic Island, Marion</t>
  </si>
  <si>
    <t>ectosymbiont; Mantoscyphidia branchi; M-marioni; marine mollusc; scyphidiid peritrich; sessile ciliophoran</t>
  </si>
  <si>
    <t>In a comprehensive survey of 19 limpet species representing three genera along the South African coast, an ectosymbiotic peritrich was found attached to the gills of specimens of all limper species examined. This species differs from all the known Mantoscyphidia Jankowski, 1980 species based on body morphology and details of the nuclear apparatus and is described as a new species, M. branchi sp. n. In a similar investigation of the limper fauna from a Sub-Antarctic Island in the Southern Ocean, another Mantoscyphidia species was found associated with the only limper, Nacella delesserti (Phillips, 1849), occurring on Marion Island. This is described as a new species, M. marioni sp, n. These descriptions are based on light and scanning electron microscopy.</t>
  </si>
  <si>
    <t>Univ Orange Free State, Dept Zool &amp; Entomol, ZA-9300 Bloemfontein, South Africa</t>
  </si>
  <si>
    <t>University of the Free State</t>
  </si>
  <si>
    <t>Van As, JG (corresponding author), Univ Orange Free State, Dept Zool &amp; Entomol, POB 339, ZA-9300 Bloemfontein, South Africa.</t>
  </si>
  <si>
    <t>vanasll@dre.nw.uovs.ac.za</t>
  </si>
  <si>
    <t>ZR870</t>
  </si>
  <si>
    <t>WOS:000074023000004</t>
  </si>
  <si>
    <t>Wilkes, RJ</t>
  </si>
  <si>
    <t>Riedler, W; Torkar, K</t>
  </si>
  <si>
    <t>Antarctic long-duration balloon flights: JACEE experience</t>
  </si>
  <si>
    <t>ACTIVE EXPERIMENTS IN SPACE PLASMAS</t>
  </si>
  <si>
    <t>ADVANCES IN SPACE RESEARCH-SERIES</t>
  </si>
  <si>
    <t>31st COSPAR Scientific Assembly</t>
  </si>
  <si>
    <t>JUL 14-21, 1996</t>
  </si>
  <si>
    <t>BIRMINGHAM, ENGLAND</t>
  </si>
  <si>
    <t>JACEE has had four successful. long-duration balloon flights (LDBF) in Antarctica, in five attempts. The latest flight, in December, 1995, provided 348 hours of exposure at approximately 5 g/cm(2) residual overburden, for an array of 6 emulsion chamber modules with overall area 100 x 120 cm(2). Antarctic LDBF techniques have reached a degree of maturity which permits great advances in the rate of data acquisition. We will describe the gondola, data-logging onboard electronics, preparation and flight procedures, and special aspects of flight operations in the Antarctic. (C) 1998 COSPAR. Published by Elsevier Science Ltd.</t>
  </si>
  <si>
    <t>Univ Washington, Dept Phys, Seattle, WA 98195 USA</t>
  </si>
  <si>
    <t>University of Washington; University of Washington Seattle</t>
  </si>
  <si>
    <t>Wilkes, RJ (corresponding author), Univ Washington, Dept Phys, Box 351560, Seattle, WA 98195 USA.</t>
  </si>
  <si>
    <t>Wilkes, Richard Jeffrey/E-6011-2013</t>
  </si>
  <si>
    <t>Wilkes, Richard Jeffrey/0000-0002-0824-8524</t>
  </si>
  <si>
    <t>PERGAMON PRESS LTD</t>
  </si>
  <si>
    <t>THE BOULEVARD LANGFORD LANE KIDLINGTON, OXFORD OX5 1GB, ENGLAND</t>
  </si>
  <si>
    <t>0273-1177</t>
  </si>
  <si>
    <t>0-08-043460-6</t>
  </si>
  <si>
    <t>ADV SPACE RES-SERIES</t>
  </si>
  <si>
    <t>10.1016/S0273-1177(97)01080-6</t>
  </si>
  <si>
    <t>Engineering, Aerospace; Astronomy &amp; Astrophysics; Geosciences, Multidisciplinary; Meteorology &amp; Atmospheric Sciences</t>
  </si>
  <si>
    <t>Engineering; Astronomy &amp; Astrophysics; Geology; Meteorology &amp; Atmospheric Sciences</t>
  </si>
  <si>
    <t>BL02N</t>
  </si>
  <si>
    <t>WOS:000074073000005</t>
  </si>
  <si>
    <t>Blagoveshchenskaya, NF; Borisova, TD; Kornienko, VA</t>
  </si>
  <si>
    <t>Rietveld, MT</t>
  </si>
  <si>
    <t>Medium-scale ionospheric wave processes during the CRRES barium releases</t>
  </si>
  <si>
    <t>ACTIVE EXPERIMENTS IN SPACE PLASMAS - 1996 PROCEEDINGS OF THE D0.6 SYMPOSIUM OF COSPAR SCIENTIFIC COMMISSION D</t>
  </si>
  <si>
    <t>ADVANCES IN SPACE RESEARCH</t>
  </si>
  <si>
    <t>31st COSPAR Scientific Assembly on Active Experiments in Space Plasmas</t>
  </si>
  <si>
    <t>JUL 18-19, 1996</t>
  </si>
  <si>
    <t>Results of experimental studies and computer simulation of medium-scale ionospheric wave processes observed during the CRRES Barium release on July 13, 1991 are considered. An attempt at reconstruction of the spatial distribution of ionosphere parameters in the region 22 degrees - 40 degrees N, 50 degrees - 75 degrees W for the time period from 08.00 to 09.00 UT on July 13, 1991 is made. Wave processes in the ionospheric F- layer with main periods in the range of 47-58 min, 19-24 min and 10-13 min have been established. Some peculiarities in Doppler data on different radio paths could be explained as an effect of abrupt ionosphere changes. The hypothesis is advanced that the disturbance in the F2- layer was initiated by the release and propagated for long distances (550 - 2200 km) with supersonic velocities in the range of 1000-2700 m/s. (C) 1998 COSPAR. Published by Elsevier Science Ltd.</t>
  </si>
  <si>
    <t>Blagoveshchenskaya, NF (corresponding author), Arctic &amp; Antarctic Res Inst, 38 Bering Str, St Petersburg 199397, Russia.</t>
  </si>
  <si>
    <t>Blagoveshchenskaya, Nataly F./S-4342-2017; Blagoveshchenskaya, Nataly/AAE-4093-2022; Borisova, Tatiana/AAK-7698-2020</t>
  </si>
  <si>
    <t>Blagoveshchenskaya, Nataly F./0000-0003-1752-3273; Blagoveshchenskaya, Nataly/0000-0003-1752-3273; Borisova, Tatiana/0000-0003-1727-5310</t>
  </si>
  <si>
    <t>0-08-043458-4</t>
  </si>
  <si>
    <t>ADV SPACE RES</t>
  </si>
  <si>
    <t>10.1016/S0273-1177(97)01017-X</t>
  </si>
  <si>
    <t>Engineering, Aerospace; Astronomy &amp; Astrophysics; Geosciences, Multidisciplinary; Meteorology &amp; Atmospheric Sciences; Physics, Fluids &amp; Plasmas</t>
  </si>
  <si>
    <t>Engineering; Astronomy &amp; Astrophysics; Geology; Meteorology &amp; Atmospheric Sciences; Physics</t>
  </si>
  <si>
    <t>BL48V</t>
  </si>
  <si>
    <t>WOS:000075683500019</t>
  </si>
  <si>
    <t>Stark, AA; Carlstrom, JE; Israel, FP; Menten, KM; Peterson, JB; Phillips, TG; Sironi, G; Walker, CK</t>
  </si>
  <si>
    <t>Phillips, TG</t>
  </si>
  <si>
    <t>Plans for a 10-m submillimeter-wave telescope at the South Pole</t>
  </si>
  <si>
    <t>ADVANCED TECHNOLOGY MMW, RADIO, AND TERAHERTZ TELESCOPES</t>
  </si>
  <si>
    <t>PROCEEDINGS OF THE SOCIETY OF PHOTO-OPTICAL INSTRUMENTATION ENGINEERS (SPIE)</t>
  </si>
  <si>
    <t>SPIE Conference on Advanced Technology MMW, Radio, and Terahertz Telescopes</t>
  </si>
  <si>
    <t>MAR 26-28, 1998</t>
  </si>
  <si>
    <t>KONA, HI</t>
  </si>
  <si>
    <t>Antarctic; South Pole; submillimeter; astronomy; telescopes</t>
  </si>
  <si>
    <t>A 10 meter diameter submillimeter-wave telescope has been proposed for installation and scientific use at the NSF Amundsen-Scott South Pole Station. Current evidence indicates that the South Pole is the best submillimeter-wave telescope site among all existing or proposed ground-based observatories. Proposed scientific programs place stringent requirements on the optical quality of the telescope design. In particular, reduction of the thermal background and offsets requires an off-axis, unblocked aperture, and the large field of view needed for survey observations requires shaped optics. This mix of design elements is well-suited for large-scale (square degree) mapping of line and continuum radiation from submillimeter-wave sources at moderate spatial resolutions (4 to 60 arcsecond beam size) and high sensitivity (milliJansky flux density levels:). The telescope will make arcminute angular scale, high frequency Cosmic Microwave Background measurements from the best possible ground-based site, using an aperture which is larger than is currently possible on orbital or airborne platforms. The telescope design is homologous. Gravitational changes in pointing and focal length will be accommodated by active repositioning of the secondary mirror. The secondary support, consisting of a large, enclosed beam, permits mounting of either a standard set of Gregorian optics, or prime focus instrumentation packages for CMBR studies. A, tertiary chopper is located at the exit pupil of the instrument. An optical design with a hyperboloidal primary mirror and a concave secondary mirror provides a flat focal surface. The relatively large classical aberrations present in such an optical arrangement can be small compared to diffraction at submillimeter wavelengths. Effective use of this telescope will require development of large (1000 element) arrays of submillimeter detectors which are background-limited when illuminated by antenna temperatures near 50 K.</t>
  </si>
  <si>
    <t>Smithsonian Astrophys Observ, Cambridge, MA 02138 USA</t>
  </si>
  <si>
    <t>Smithsonian Institution; Smithsonian Astrophysical Observatory; Harvard University</t>
  </si>
  <si>
    <t>Stark, AA (corresponding author), Smithsonian Astrophys Observ, 60 Garden St,MS78, Cambridge, MA 02138 USA.</t>
  </si>
  <si>
    <t>; Peterson, Jeffrey/O-4794-2014</t>
  </si>
  <si>
    <t>Stark, Antony/0000-0002-2718-9996; Peterson, Jeffrey/0000-0003-1340-818X</t>
  </si>
  <si>
    <t>SPIE-INT SOC OPTICAL ENGINEERING</t>
  </si>
  <si>
    <t>BELLINGHAM</t>
  </si>
  <si>
    <t>1000 20TH ST, PO BOX 10, BELLINGHAM, WA 98227-0010 USA</t>
  </si>
  <si>
    <t>0277-786X</t>
  </si>
  <si>
    <t>0-8194-2804-3</t>
  </si>
  <si>
    <t>P SOC PHOTO-OPT INS</t>
  </si>
  <si>
    <t>10.1117/12.317383</t>
  </si>
  <si>
    <t>Astronomy &amp; Astrophysics; Optics</t>
  </si>
  <si>
    <t>BL55D</t>
  </si>
  <si>
    <t>Green Accepted, Green Submitted</t>
  </si>
  <si>
    <t>WOS:000075850400051</t>
  </si>
  <si>
    <t>Dotson, JL; Novak, G; Renbarger, O; Pernic, D; Sundwall, J</t>
  </si>
  <si>
    <t>SPARO, the Submillimeter Polarimeter for Antarctic Remote Observing</t>
  </si>
  <si>
    <t>submillimeter instrumentation; Antarctic astronomy</t>
  </si>
  <si>
    <t>The South Pole has been identified as an excellent submillimeter site. Submillimeter continuum work at the South Pole promises to address several essential issues in astronomy including the morphology of the magnetic field in the galactic center and the search for protogalaxies. Here we will discuss the Submillimeter Polarimeter for Antarctic Remote Observing (SPARO), the first sub-kelvin cryostat designed for operation in the hostile Antarctic winter environment. We have implemented several novel design concepts, including a vapor cooled He-4 cryostat and a capillary fed pumped 4He stage, in order to construct a long holdtime system with simplified operation.</t>
  </si>
  <si>
    <t>Northwestern Univ, Dept Phys, Evanston, IL 60208 USA</t>
  </si>
  <si>
    <t>Northwestern University</t>
  </si>
  <si>
    <t>Dotson, JL (corresponding author), Northwestern Univ, Dept Phys, 2145 Sheridan, Evanston, IL 60208 USA.</t>
  </si>
  <si>
    <t>Dotson, Jennifer L/G-3778-2012; Chuss, David T/D-8281-2012</t>
  </si>
  <si>
    <t>10.1117/12.317388</t>
  </si>
  <si>
    <t>WOS:000075850400055</t>
  </si>
  <si>
    <t>Francis, AW; Alcorta, J</t>
  </si>
  <si>
    <t>Kittel, P</t>
  </si>
  <si>
    <t>Coals to Newcastle - Cryogenics in Antarctica</t>
  </si>
  <si>
    <t>ADVANCES IN CRYOGENIC ENGINEERING, VOL 43 PTS A AND B</t>
  </si>
  <si>
    <t>ADVANCES IN CRYOGENIC ENGINEERING</t>
  </si>
  <si>
    <t>Joint Cryogenic Engineering / International Cryogenic Materials Conference</t>
  </si>
  <si>
    <t>PORTLAND, OR</t>
  </si>
  <si>
    <t>The National Science Foundation's Antarctic Program requires liquid oxygen, nitrogen and helium to support scientific research in Antarctica. Biologists employ liquid nitrogen refrigeration to freeze, store and transport cell samples. Astrophysicists cool detectors with liquid helium and liquid nitrogen to eliminate noise and enhance sensitivity to radiation in the microwave and far infrared. Gamma ray detectors are maintained at liquid nitrogen temperature. Meteorologists use cryogen cooled instruments to analyze pollutants in the atmosphere, including those believed to be responsible for loss of ozone in the stratosphere. Aviators breathing oxygen is stored aboard aircraft in the liquid state. Cryogens must be supplied, thousands of miles from industrial sources, to an area which can receive ocean freight less than one month each year. Air freight is limited to three to six months and is often dependent on ski equipped aircraft of limited cargo capacity. Ambient temperatures vary from 200 to 280 K (-100 to +40 F). Wind and snow are frequent hazards. Supplying the program needs involves specially selected equipment and procedures to overcome these problems safely. This paper describes some of these applications and the techniques developed to supply Cryogens along with descriptions of life and work in this most remote continent.</t>
  </si>
  <si>
    <t>Arthur W Francis Consulting, New York, NY 10956 USA</t>
  </si>
  <si>
    <t>Francis, AW (corresponding author), Arthur W Francis Consulting, New York, NY 10956 USA.</t>
  </si>
  <si>
    <t>PLENUM PRESS DIV PLENUM PUBLISHING CORP</t>
  </si>
  <si>
    <t>0065-2482</t>
  </si>
  <si>
    <t>0-306-45807-1</t>
  </si>
  <si>
    <t>ADV CRYOG ENG</t>
  </si>
  <si>
    <t>A AND B</t>
  </si>
  <si>
    <t>Thermodynamics; Engineering, Electrical &amp; Electronic; Engineering, Mechanical</t>
  </si>
  <si>
    <t>Thermodynamics; Engineering</t>
  </si>
  <si>
    <t>BL67N</t>
  </si>
  <si>
    <t>WOS:000076284800130</t>
  </si>
  <si>
    <t>Alcorta, JJ</t>
  </si>
  <si>
    <t>Cryogenic safety in the United States Antarctic Program</t>
  </si>
  <si>
    <t>The United States Antarctic Program (USAP) has experienced an increase in the use of cryogenic fluids over the past decade. This increased use requires that the USAP purchase or lease suitable equipment, retain competent personnel, provide training to increase the knowledge base and find adequate storage for the inventory of equipment. Safety is extremely important to the USAP because of the remote location of the work. Antarctica remains as a lonely reminder that accidents do happen and that help may not be immediately available. Communication between remote stations often relies on radio or electronic mail. The geographic location adds long flight times to travel between these stations and the rest of the general population. Most of the safety aspects of the USAP are common to any other typical research program in a typical laboratory setting. The USAP also faces unexpected safety problems not generally encountered elsewhere.</t>
  </si>
  <si>
    <t>Antarctic Support Associates, Englewood, CO 80112 USA</t>
  </si>
  <si>
    <t>Alcorta, JJ (corresponding author), Antarctic Support Associates, Englewood, CO 80112 USA.</t>
  </si>
  <si>
    <t>WOS:000076284800132</t>
  </si>
  <si>
    <t>Lisker, F; Olesch, M</t>
  </si>
  <si>
    <t>VandenHaute, P; DeCorte, F</t>
  </si>
  <si>
    <t>Cooling and denudation history of western Marie Byrd Land, Antarctica, based on apatite fission-tracks</t>
  </si>
  <si>
    <t>ADVANCES IN FISSION-TRACK GEOCHRONOLOGY</t>
  </si>
  <si>
    <t>SOLID EARTH SCIENCES LIBRARY</t>
  </si>
  <si>
    <t>International Workshop on Fission-Track Dating</t>
  </si>
  <si>
    <t>GHENT, BELGIUM</t>
  </si>
  <si>
    <t>The Ford Ranges and the Edward VII Peninsula, western Marie Byrd Land (MBL), form the flat eastern rift flank of the West Antarctic Rift System (WARS). Both areas were intruded by middle and late Cretaceous Byrd Coast Granites and experienced three distinct periods of low temperature cooling: from 100 to 85 Ma, from 75 to 60 Ma and since the Oligocene. The different cooling stages are related to a pulsing mantle plume, slowly wandering below MEL. They can be Linked to the beginning of Gondwana break-up in the Pacific sector of Antarctica, the rifting of the New Zealand/ Campbell Plateau block from MBL and the onset of the Tertiary alkali volcanism in West Antarctica. The cumulative amount of uplift/denudation since the late Cretaceous is similar to 3300 m and thus, significantly smaller than those of the western rift shoulder of the WARS (Transantarctic Mountains: up to 10 km).</t>
  </si>
  <si>
    <t>Univ Bremen, Fachbereich Geowissensch, Bremen, Germany</t>
  </si>
  <si>
    <t>University of Bremen</t>
  </si>
  <si>
    <t>Lisker, F (corresponding author), Univ Bremen, Fachbereich Geowissensch, Bremen, Germany.</t>
  </si>
  <si>
    <t>PO BOX 17, 3300 AA DORDRECHT, NETHERLANDS</t>
  </si>
  <si>
    <t>0-7923-4904-0</t>
  </si>
  <si>
    <t>SOLID EARTH</t>
  </si>
  <si>
    <t>BL21U</t>
  </si>
  <si>
    <t>WOS:000074738800014</t>
  </si>
  <si>
    <t>Santer, B; Boldt, E</t>
  </si>
  <si>
    <t>Brendonck, L; DeMeester, L; Hairston, N</t>
  </si>
  <si>
    <t>The seasonal pattern of lipids in the life cycle of the summer-diapausing freshwater copepod Cyclops kolensis (Lilljeborg)</t>
  </si>
  <si>
    <t>ADVANCES IN LIMNOLOGY, VOL 52: EVOLUTIONARY AND ECOLOGICAL ASPECTS OF CRUSTACEAN DIAPAUSE</t>
  </si>
  <si>
    <t>ERGEBNISSE DER LIMNOLOGIE</t>
  </si>
  <si>
    <t>Symposium on Diapause in the Crustacea</t>
  </si>
  <si>
    <t>AUG 24-29, 1997</t>
  </si>
  <si>
    <t>SUB-ANTARCTIC COPEPOD; CALANUS-FINMARCHICUS; CALANOIDES-ACUTUS; NEOCALANUS-TONSUS; ENERGY RESERVES; REPRODUCTION; STORAGE; LAKE; STARVATION; PROPINQUUS</t>
  </si>
  <si>
    <t>The life cycle of the freshwater copepod Cyclops kolensis in the eutrophic Lake Schierensee is characterized by summer diapause. From June to October C4 and C5 copepodid stages persist in the anoxic sediment. Prior to diapause lipids ale accumulated. The seasonal patterns of the total lipids and energy reserve lipids in Cyclops kolensis were examined during a two-year period, and the role of the reserve lipids in the life cycle of the copepod was assessed. Triacylglycerols (TAGs) were the dominant lipid class. The seasonal pattern of this energy reserve lipids resembled the seasonal pattern of the total lipids. Total lipid content of diapausing copepodids was approximately one third of their dry mass and decreased only slightly during the diapause period. A drastic decrease of lipids occurred after termination of diapause in November when copepodids emerged. When egg production started in February, the lipid content of adult females was approximately 20% of their dry mass. During the four-month long reproductive period a decrease in the lipid content of the females was observed, whereas the lipid concentration of the eggs remained almost constant. The offspring developed during the algal spring bloom and accumulated lipids before they entered diapause in June. Stored lipids are considered to provide energy for reactivation of the copepodids after termination of diapause and for early reproduction.</t>
  </si>
  <si>
    <t>Max Planck Inst Limnol, D-24302 Plon, Germany</t>
  </si>
  <si>
    <t>Max Planck Society</t>
  </si>
  <si>
    <t>Santer, B (corresponding author), Max Planck Inst Limnol, Postfach 165, D-24302 Plon, Germany.</t>
  </si>
  <si>
    <t>E SCHWEIZERBART'SCHE VERLAGSBUCHHANDLUNG</t>
  </si>
  <si>
    <t>STUTTGART</t>
  </si>
  <si>
    <t>JOHANNESTRASSE 3, W-7000 STUTTGART, GERMANY</t>
  </si>
  <si>
    <t>0071-1128</t>
  </si>
  <si>
    <t>3-510-47054-0</t>
  </si>
  <si>
    <t>ERGEB LIMNOL</t>
  </si>
  <si>
    <t>Limnology</t>
  </si>
  <si>
    <t>BQ75C</t>
  </si>
  <si>
    <t>WOS:000089402600036</t>
  </si>
  <si>
    <t>Cantrill, DJ</t>
  </si>
  <si>
    <t>Early Cretaceous fern foliage from President Head, Snow Island, Antarctica</t>
  </si>
  <si>
    <t>ALCHERINGA</t>
  </si>
  <si>
    <t>Cretaceous; Pteridophyta; Cyatheacidites; Lophosoriaceae; palaeoclimate; Antarctica</t>
  </si>
  <si>
    <t>FOSSIL PLANT CUTICLES; LIVINGSTON ISLAND; BYERS GROUP; ALEXANDER-ISLAND; PENINSULA; TEMPERATURES; ARGENTINA; EVOLUTION; CLIMATE; BRAZIL</t>
  </si>
  <si>
    <t>Fertile fern foliage described as Lophosoria cupulatus so. nov, contains the distinctive spore Cyatheacidites annulatus. The fossil foliage is morphologically similar to the Early Cretaceous form-genera Gleichenites and Microphyllopteris, whose time and space distribution in Gondwana matches that of the dispersed spore Cyatheacidites. Some of the Cretaceous southern hemisphere material assigned to Gleichenites and Microphyllopteris is probably allied to families such as the Lophosoriaceae rather than the Gleicheniaceae as had been previously supposed. The nearest living relative, Lophosoria quadripinnata, grows within a mean annual temperature range of 8-22 degrees C, and a mean annual precipitation range of 195-1977 mm. The presence of Lophosoria cupulatus at palaeolatitudes of 55-65 degrees S implies that during the Aptian the southern high latitudes were a minimum of 12 degrees C warmer than the present day.</t>
  </si>
  <si>
    <t>British Antarctic Survey, NERC, Madingley Rd, Cambridge CB3 0ET, England.</t>
  </si>
  <si>
    <t>DJCA@pcmail.nerc-bas.ac.uk</t>
  </si>
  <si>
    <t>TAYLOR &amp; FRANCIS LTD</t>
  </si>
  <si>
    <t>ABINGDON</t>
  </si>
  <si>
    <t>2-4 PARK SQUARE, MILTON PARK, ABINGDON OR14 4RN, OXON, ENGLAND</t>
  </si>
  <si>
    <t>0311-5518</t>
  </si>
  <si>
    <t>1752-0754</t>
  </si>
  <si>
    <t>Alcheringa</t>
  </si>
  <si>
    <t>10.1080/03115519808619203</t>
  </si>
  <si>
    <t>124YX</t>
  </si>
  <si>
    <t>WOS:000076211300004</t>
  </si>
  <si>
    <t>Rothwell, DR</t>
  </si>
  <si>
    <t>Governing the Antarctic: The effectiveness and legitimacy of the Antarctic treaty system.</t>
  </si>
  <si>
    <t>AMERICAN JOURNAL OF INTERNATIONAL LAW</t>
  </si>
  <si>
    <t>Univ Sydney, Fac Law, Sydney, NSW 2006, Australia</t>
  </si>
  <si>
    <t>University of Sydney</t>
  </si>
  <si>
    <t>Univ Sydney, Fac Law, Sydney, NSW 2006, Australia.</t>
  </si>
  <si>
    <t>Rothwell, Donald R/V-1403-2018</t>
  </si>
  <si>
    <t>0002-9300</t>
  </si>
  <si>
    <t>2161-7953</t>
  </si>
  <si>
    <t>AM J INT LAW</t>
  </si>
  <si>
    <t>Am. J. Int. Law</t>
  </si>
  <si>
    <t>International Relations; Law</t>
  </si>
  <si>
    <t>International Relations; Government &amp; Law</t>
  </si>
  <si>
    <t>YY955</t>
  </si>
  <si>
    <t>WOS:000072205000020</t>
  </si>
  <si>
    <t>Pauli, B; Haddad, PR</t>
  </si>
  <si>
    <t>Determination of trace uranyl in saline samples using chelation ion chromatography</t>
  </si>
  <si>
    <t>ANALYTICAL COMMUNICATIONS</t>
  </si>
  <si>
    <t>DYE-IMPREGNATED RESINS; METALS; SEPARATION; CALCIUM</t>
  </si>
  <si>
    <t>A liquid chromatographic method for the determination of trace levels of UO22+ in highly saline samples has been developed, A polystyrene divinylbenzene reversed-phase column was impregnated with methylthymol blue, resulting in a chelating stationary phase, An isocratic method, using a 0.5 M KNO3, 40 mM HNO3 eluent, allowed the direct injection of up to 0.2 ml of a saline sample, with UO22+ eluting away from the sample matrix peak in under six minutes, The development of an eluent step gradient procedure, using a step up from 6 mM HNO3 to 60 mM HNO3, allowed sample injection volumes of up to 2 ml without substantial peak broadening and resulted in a detection limit for UO22+ of less than 1 mu g l(-1), in samples containing massive excesses of matrix metals, The procedure was applied to the determination of trace UO22+ in a saturated saline Antarctic lake sample, The results obtained compared well with those obtained using ICP-MS.</t>
  </si>
  <si>
    <t>Univ Tasmania, Dept Chem, Separat Sci Grp, Hobart, Tas 7001, Australia</t>
  </si>
  <si>
    <t>Pauli, B (corresponding author), Dublin City Univ, Dept Chem Sci, Dublin 9, Ireland.</t>
  </si>
  <si>
    <t>paull, brett/AAO-8366-2020</t>
  </si>
  <si>
    <t>paull, brett/0000-0001-6373-6582; Haddad, Paul/0000-0001-9579-7363</t>
  </si>
  <si>
    <t>ROYAL SOC CHEMISTRY</t>
  </si>
  <si>
    <t>THOMAS GRAHAM HOUSE, SCIENCE PARK, MILTON ROAD, CAMBRIDGE CB4 4WF, CAMBS, ENGLAND</t>
  </si>
  <si>
    <t>1359-7337</t>
  </si>
  <si>
    <t>ANAL COMMUN</t>
  </si>
  <si>
    <t>Anal. Commun.</t>
  </si>
  <si>
    <t>10.1039/a707971k</t>
  </si>
  <si>
    <t>YU565</t>
  </si>
  <si>
    <t>WOS:000071730600003</t>
  </si>
  <si>
    <t>Ochyra, R; Lewis-Smith, RI</t>
  </si>
  <si>
    <t>Antarctic species in the genus Ditrichum (Ditrichaceae, Bryopsida), with a description of D-gemmiferum sp. nov.</t>
  </si>
  <si>
    <t>ANNALES BOTANICI FENNICI</t>
  </si>
  <si>
    <t>Antarctic; bryogeography; Bryopsida; Ditrichaceae; Ditrichum; Subantarctic; taxonomy</t>
  </si>
  <si>
    <t>MOSSES</t>
  </si>
  <si>
    <t>There are five species in the genus Ditrichum Hampe in the Antarctic: D. heteromallum (Hedw.) Britt., D. conicum (Mont.) Mitt., D. austrogeorgicum (Card.) Seppelt, D. lewis-smithii Ochyra and D. gemmiferum Ochyra &amp; Lewis-Smith. Of these, the first two are newly recorded from the region, whereas the last is described as new to science from material collected from the South Sandwich and South Shetland Islands, as well as from Marion Island in the Subantarctic and southern Chile. The new species is readily recognized by its short, rigid and strongly papillose leaf subulae and the frequent occurrence of small, pale yellowish or pale brownish rhizoidal gemmae. A key to determination of Antarctic species is provided and all species, except for D. lewis-smithii, are fully described and illustrated and their Antarctic and global distributions mapped. Ditrichum brotherusii (R. Br. ter.) Seppelt is excluded from the moss flora of Antarctica since information on its occurrence was based upon misidentification of the specimens. Blindia maxwellii Vitt from Campbell Island is briefly assessed and it is shown that it correctly belongs within Ditrichum as D. maxwellii (Vitt) Ochyra &amp; Lewis-Smith. Lectotype is selected for Pseudodistichium austrogeorgicum Card., and P. austrogeorgicum fo. brevifolium Card. and P. austrogeorgicum var. longifolium Broth. in Card. &amp; Broth. are reduced to synonymy with Ditrichum austrogeorgicum.</t>
  </si>
  <si>
    <t>Polish Acad Sci, Inst Bot, Lab Bryol, PL-31512 Krakow, Poland; British Antarctic Survey, NERC, Cambridge CB3 0ET, England</t>
  </si>
  <si>
    <t>Polish Academy of Sciences; UK Research &amp; Innovation (UKRI); Natural Environment Research Council (NERC); NERC British Antarctic Survey</t>
  </si>
  <si>
    <t>Ochyra, R (corresponding author), Polish Acad Sci, Inst Bot, Lab Bryol, Ul Lubicz 46, PL-31512 Krakow, Poland.</t>
  </si>
  <si>
    <t>Ochyra, Ryszard/0000-0002-2541-0722</t>
  </si>
  <si>
    <t>FINNISH ZOOLOGICAL BOTANICAL PUBLISHING BOARD</t>
  </si>
  <si>
    <t>HELSINKI</t>
  </si>
  <si>
    <t>UNIV HELSINKI P O BOX 17 (P. RAUTATIEKATU 13), FIN-00014 HELSINKI, FINLAND</t>
  </si>
  <si>
    <t>0003-3847</t>
  </si>
  <si>
    <t>ANN BOT FENN</t>
  </si>
  <si>
    <t>Ann. Bot. Fenn.</t>
  </si>
  <si>
    <t>Plant Sciences</t>
  </si>
  <si>
    <t>ZN098</t>
  </si>
  <si>
    <t>WOS:000073609700006</t>
  </si>
  <si>
    <t>Ochyra, R</t>
  </si>
  <si>
    <t>Schistidium halinae (Grimmiaceae, Bryopsida), a new moss species from the Antarctic</t>
  </si>
  <si>
    <t>Antarctica; Bryopsida; Grimmiaceae; Schistidium; taxonomy</t>
  </si>
  <si>
    <t>TAXONOMIC REVISION; BRYOPHYTA</t>
  </si>
  <si>
    <t>Schistidium halinae Ochyra (Grimmiaceae, Bryopsida) is described as a new species based on ten collections from the maritime West Antarctic. It differs from the congeners in (1) its piliferous upper leaves giving the plants a hoary appearance, (2) sharply spinulose-denticulate, hyaline, broad, flattened and membraneous hair-points, 0.2-1.0 mm long on the upper leaves, (3) narrowly recurved and partially bistratose margins in the upper half leaf, (4) presence of a large central strand, (5) short-rectangular and sinuose laminal cells in the lower middle, and (6) long-rectangular basal juxtacostal cells with straight incrassate walls and quadrate to short-rectangular basal marginal cells forming a band 4-6 cells wide. Additionally, the capsules are deeply immersed in the ovate perichaetial leaves with a plane or narrowly recurved margin on one side below the apex and terminated with a long, hyaline hair-point (0.6-1.4 mm). The exothecial cells are mostly isodiametric to oblong, thin-walled with distinct corner thickenings and the peristome teeth are erect, lanceolate, perforate to irregularly cracked. The new species is fully described and illustrated and its affinities are discussed. Schistidium halinae is currently known from King George and Livingston Islands in the South Shetland Islands and from Vega and James Ross Islands near Trinity Peninsula on the NE coast of the Antarctic Peninsula. The distribution is mapped.</t>
  </si>
  <si>
    <t>Polish Acad Sci, Inst Bot, Lab Bryol, PL-31512 Krakow, Poland</t>
  </si>
  <si>
    <t>167KJ</t>
  </si>
  <si>
    <t>WOS:000078631500006</t>
  </si>
  <si>
    <t>Van de Vijver, B; Beyens, L; Gloaguen, JC; Frenot, Y</t>
  </si>
  <si>
    <t>Freshwater diatom flora from peaty sediments in Kerguelen Islands</t>
  </si>
  <si>
    <t>ANNALES DE LIMNOLOGIE-INTERNATIONAL JOURNAL OF LIMNOLOGY</t>
  </si>
  <si>
    <t>French</t>
  </si>
  <si>
    <t>diatoms; peat; Kerguelen; Subantarctic</t>
  </si>
  <si>
    <t>MARITIME ANTARCTIC LAKES</t>
  </si>
  <si>
    <t>The freshwater diatom flora of The Grand Terre (Kerguelen Islands) is studied in six samples from Holocene peaty sediments, sampled after the retreat of the Ampere Glacier snout, in the western side of the archipelago. 107 taxa were observed (84 species, 22 varieties and 1 form). This diatom flora, about 1000, 5000 and 10000 yr old, showed a great similarity to the recent flora of the Kerguelen Islands. The biogeography of this flora and the similarities with other Antarctic islands is briefly discussed.</t>
  </si>
  <si>
    <t>Univ Anvers, Dept Biol, Sect Ecol Arctic &amp; Paleobiol, B-2020 Antwerp, Belgium; Univ Rennes 1, Stn Biol Paimpont, CNRS, UMR 6553, F-35380 Plelan Le Grand, France; Univ Rennes 1, Ecol Vegetale Lab, CNRS, UMR 6553, F-35042 Rennes, France</t>
  </si>
  <si>
    <t>University of Antwerp; Universite de Rennes; Centre National de la Recherche Scientifique (CNRS); CNRS - Institute of Ecology &amp; Environment (INEE); Universite de Rennes; Centre National de la Recherche Scientifique (CNRS); CNRS - Institute of Ecology &amp; Environment (INEE)</t>
  </si>
  <si>
    <t>Van de Vijver, B (corresponding author), Univ Antwerp, Ruca, Dept Biol, Sect Arctic Ecol Limnol &amp; Paleobiol, Groenenborgerlaan 171, B-2020 Antwerp, Belgium.</t>
  </si>
  <si>
    <t>UNIV PAUL SABITIER-TOULOUSE III-CESAC</t>
  </si>
  <si>
    <t>TOULOUSE</t>
  </si>
  <si>
    <t>118 ROUTE NARBONNE, F-31062 TOULOUSE, FRANCE</t>
  </si>
  <si>
    <t>0003-4088</t>
  </si>
  <si>
    <t>ANN LIMNOL-INT J LIM</t>
  </si>
  <si>
    <t>Ann. Limnol.-Int. J. Limnol.</t>
  </si>
  <si>
    <t>10.1051/limn/1998005</t>
  </si>
  <si>
    <t>ZG005</t>
  </si>
  <si>
    <t>WOS:000072955100001</t>
  </si>
  <si>
    <t>Greet, PA; French, WJR; Burns, GB; Williams, PFB; Lowe, RP; Finlayson, K</t>
  </si>
  <si>
    <t>OH(6-2) spectra and rotational temperature measurements at Davis, Antarctica</t>
  </si>
  <si>
    <t>atmospheric composition and structure; airglow and aurora; middle atmosphere composition and chemistry; pressure, density and temperature</t>
  </si>
  <si>
    <t>HYDROXYL NIGHT AIRGLOW; TRANSITION-PROBABILITIES; GRAVITY-WAVE; SOUTHERN-HEMISPHERE; MOLECULAR-CONSTANTS; MIDDLE ATMOSPHERE; MESOPAUSE REGION; OH NIGHTGLOW; SOLAR-CYCLE; EMISSION</t>
  </si>
  <si>
    <t>The OH(6-2) band was monitored during 1990 at Davis, Antarctica (68.6 degrees S, 78.0 degrees E) using a Czerny-Turner scanning spectrometer. Spectra obtained with a 0.15-nm bandwidth and wavelength steps of 0.005 nm have been recorded in an attempt to isolate auroral features. This has enabled detailed study of weak features in the region lambda 837.5-855.5 nm. These weak features can contribute to the apparent intensity of P-branch lines and to the background. Their presence is allowed for in our calculation of rotational temperature, but the P-1(3) line is excluded because of significant contamination. An average temperature of 221 +/- 2 K is obtained from a selected data set of 104 spectra. The mid-winter average temperature, for the months of May, June and July, is 224 +/- 2 K, which is consistent with the 1986 CIRA model values for mid-winter at this height and latitude, but this result is dependent on the choice of transition probabilities. Preliminary assessments of seasonal and diurnal variations in rotational temperature and intensity are presented.</t>
  </si>
  <si>
    <t>Australian Antarctic Div, Kingston, Tas 7050, Australia; Univ Tasmania, Inst Antarctic &amp; So Ocean Studies, Hobart, Tas 7001, Australia; Univ Western Ontario, Inst Space &amp; Terr Sci, London, ON N6A 3K7, Canada</t>
  </si>
  <si>
    <t>Australian Antarctic Division; University of Tasmania; Western University (University of Western Ontario)</t>
  </si>
  <si>
    <t>Burns, GB (corresponding author), Australian Antarctic Div, Channel Highway, Kingston, Tas 7050, Australia.</t>
  </si>
  <si>
    <t>French, John/0000-0001-9305-6190</t>
  </si>
  <si>
    <t>10.1007/s00585-997-0077-3</t>
  </si>
  <si>
    <t>YQ938</t>
  </si>
  <si>
    <t>WOS:000071439700007</t>
  </si>
  <si>
    <t>Nagurny, AP</t>
  </si>
  <si>
    <t>Climatic characteristics of the tropopause over the Arctic Basin</t>
  </si>
  <si>
    <t>meteorology and atmospheric dynamics; climatology; polar meteorology</t>
  </si>
  <si>
    <t>On the basis of stationary aerological observations and measurements at Russian North Pole drifting stations taken during 1954-1991, tropopause climate parameters (height and temperature at its upper and lower bounds) are determined. Long-term trends of these parameters over the Arctic Ocean are revealed.</t>
  </si>
  <si>
    <t>Nagurny, AP (corresponding author), Arctic &amp; Antarctic Res Inst, 38 Bering St, St Petersburg 199397, Russia.</t>
  </si>
  <si>
    <t>10.1007/s00585-997-0110-6</t>
  </si>
  <si>
    <t>WOS:000071439700009</t>
  </si>
  <si>
    <t>Arnaud, L; Lipenkov, V; Barnola, JM; Gay, M; Duval, P</t>
  </si>
  <si>
    <t>McClung, DM</t>
  </si>
  <si>
    <t>Modelling of the densification of polar firn: characterization of the snow-firn transition</t>
  </si>
  <si>
    <t>ANNALS OF GLACIOLOGY, VOL 26, 1998</t>
  </si>
  <si>
    <t>ANNALS OF GLACIOLOGY</t>
  </si>
  <si>
    <t>International Symposium on Snow and Avalanches</t>
  </si>
  <si>
    <t>MAY 26-30, 1997</t>
  </si>
  <si>
    <t>CHAMONIX MONT BLANC, FRANCE</t>
  </si>
  <si>
    <t>The transformation of dry snow to firn is described by the transition between densification by deformationless restacking and densification by power-law creep. The observed decrease with temperature of the density at the snow-firn transition seems to result from the competition between grain-boundary sliding and power-law creep. These two densification processess occur concurrently in snow, although there are probably micro-regions in which sliding alone occurs. Validation of a geometrical densification model developed for ceramics has been obtained from densification data from several Antarctic and Greenland sites and from the characterization of the structure of polar firn.</t>
  </si>
  <si>
    <t>Lab Glaciol &amp; Geophys Environm, F-38402 St Martin Dheres, France</t>
  </si>
  <si>
    <t>Arnaud, L (corresponding author), Lab Glaciol &amp; Geophys Environm, F-38402 St Martin Dheres, France.</t>
  </si>
  <si>
    <t>Gay, Michel/AAK-6336-2021; Lipenkov, Vladimir/Q-8262-2016</t>
  </si>
  <si>
    <t>Lipenkov, Vladimir/0000-0003-4221-5440; arnaud, laurent/0000-0002-4432-4205</t>
  </si>
  <si>
    <t>INT GLACIOLOGICAL SOC</t>
  </si>
  <si>
    <t>LENSFIELD RD, CAMBRIDGE CB2 1ER, ENGLAND</t>
  </si>
  <si>
    <t>0260-3055</t>
  </si>
  <si>
    <t>0-946417-21-0</t>
  </si>
  <si>
    <t>ANN GLACIOL</t>
  </si>
  <si>
    <t>10.3189/1998AoG26-1-39-44</t>
  </si>
  <si>
    <t>BL73A</t>
  </si>
  <si>
    <t>WOS:000076481500009</t>
  </si>
  <si>
    <t>Gardiner, MJ; Ellis-Evans, JC; Anderson, MG; Tranter, M</t>
  </si>
  <si>
    <t>Snowmelt modelling on Signy Island, South Orkney Islands</t>
  </si>
  <si>
    <t>The ability of the Utah energy-balance and snowmelt model (UEB) to simulate decline in snow water equivalent (SWE) at an extreme location was assessed. Field data were collected at Paternoster Valley, Signy Island, South Orkney Islands (60 degrees 43' S) during the austral summer of 1996-97. This is the first application of UEB in a maritime Antarctic site. UEB is a physically based snowmelt model using a lumped snowpack representation with primary state variables SWE and snowpack-energy content (U). Meteorological inputs are air temperature, wind speed, humidity, precipitation and total incoming solar and longwave radiation. The Paternoster Valley catchment was subdivided into eight non-contiguous terrain classes for sampling and modelling using a geographical information system (GIS). Simulations of SWE in each of these classes were compared with field observations. It is shown that initial U and snow-surface thermal conductance (K-s,) affect model simulations. Good approximations of SWE depletion are obtained using measured incoming solar radiation to drive the model but there are shortcomings in the characterization of longwave radiation and sensible-heat fluxes.</t>
  </si>
  <si>
    <t>Univ Bristol, Sch Geog Sci, Bristol BS8 1SS, Avon, England</t>
  </si>
  <si>
    <t>University of Bristol</t>
  </si>
  <si>
    <t>Gardiner, MJ (corresponding author), Univ Bristol, Sch Geog Sci, Bristol BS8 1SS, Avon, England.</t>
  </si>
  <si>
    <t>Tranter, Martyn/E-3722-2010</t>
  </si>
  <si>
    <t>Tranter, Martyn/0000-0003-2071-3094</t>
  </si>
  <si>
    <t>10.3189/1998AoG26-1-161-166</t>
  </si>
  <si>
    <t>WOS:000076481500031</t>
  </si>
  <si>
    <t>Gallee, H</t>
  </si>
  <si>
    <t>Simulation of blowing snow over the Antarctic ice sheet</t>
  </si>
  <si>
    <t>A preliminary simulation of blowing snow over the Antarctic continent made with a mesoscale atmospheric model is presented. Sensitivity experiments show that the increase of surface friction arising in conjunction with blowing snow has a relatively more important impact on the dynamics of strong katabatic winds than previously supposed. Sublimation in blowing snow over the Antarctic continent also contributes to the global sea-level budget. It is found that this contribution is of the same order of magnitude as the estimated present sea-level rise.</t>
  </si>
  <si>
    <t>Univ Catholique Louvain, Inst Astron &amp; Geophys G Lemaitre, B-1348 Louvain, Belgium</t>
  </si>
  <si>
    <t>Universite Catholique Louvain</t>
  </si>
  <si>
    <t>Gallee, H (corresponding author), Univ Catholique Louvain, Inst Astron &amp; Geophys G Lemaitre, B-1348 Louvain, Belgium.</t>
  </si>
  <si>
    <t>10.3189/1998AoG26-1-203-206</t>
  </si>
  <si>
    <t>WOS:000076481500038</t>
  </si>
  <si>
    <t>Vaughan, DG; Bamber, JL</t>
  </si>
  <si>
    <t>Budd, WF</t>
  </si>
  <si>
    <t>Identifying areas of low-profile ice sheet and outcrop damming in the Antarctic ice sheet by ERS-1 satellite altimetry</t>
  </si>
  <si>
    <t>ANNALS OF GLACIOLOGY, VOL 27, 1998</t>
  </si>
  <si>
    <t>Annals of Glaciology-Series</t>
  </si>
  <si>
    <t>International Symposium on Antarctica and Global Change - Interactions and Impacts</t>
  </si>
  <si>
    <t>JUL 13-18, 1997</t>
  </si>
  <si>
    <t>HOBART, AUSTRALIA</t>
  </si>
  <si>
    <t>WEST ANTARCTICA; MASS-BALANCE; MODEL</t>
  </si>
  <si>
    <t>A digital elevation model (DEM) of the surface of the Antarctic ice sheet is compared with a simple two-dimensional ice-flow model to illuminate gross distortions (&gt;500 m) of the ice-surface elevation. We use a DEM derived from ERS-1 satellite altimetry, airborne data and TWERLE balloon data. This is compared with an ice-sheet elevation model generated by applying theoretical surface elevations, calculated for two-dimensional ice flow, to isolines of distance from the grounding line (continentality). The model is scaled using only one parameter, to match the measured surface elevation at Dome Argus. The model is far from rigorous, violating continuity conditions, ignoring variations in surface mass balance and temperature, and assuming uniform basal conditions. However, the comparison of model and observed surface elevations is illuminating in terms of the behaviour of the ice sheet at a continental scale. Across the ice sheet the rms difference between modelled elevation and the DEM is around 300 m, but much of this results from isolated areas of much greater disagreement. We ascribe these gross differences to the effects of basal conditions. In four areas, the observed surface is more than 500 m higher than the modelled surface. Most of these are immediately upstream of substantial areas of rock outcrop and are caused by the damming effect of these mountain ranges. In nine areas the measured surface is more than 500 m lower than predicted. Eight of these areas, in West Antarctica and the Lambert Glacier basin, are associated with suspected areas of basal sliding. The ninth is an area of 250 000 km(2) in East Antarctica not previously noted as having unusual flow characteristics, but for which very few data exist. We speculate that this area results from unusual basal conditions resulting in a low-profile ice sheet. A low-profile ice sheet of this size within the East Antarctic ice sheet indicates that basal conditions are perhaps more variable than previously thought.</t>
  </si>
  <si>
    <t>British Antarctic Survey, NERC, Cambridge CB3 0ET, England; Univ Bristol, Dept Geog, Ctr Remote Sensing, Bristol BS8 1SS, Avon, England</t>
  </si>
  <si>
    <t>UK Research &amp; Innovation (UKRI); Natural Environment Research Council (NERC); NERC British Antarctic Survey; University of Bristol</t>
  </si>
  <si>
    <t>Vaughan, DG (corresponding author), British Antarctic Survey, NERC, Madingley Rd, Cambridge CB3 0ET, England.</t>
  </si>
  <si>
    <t>Vaughan, David/C-8348-2011; Bamber, Jonathan/C-7608-2011</t>
  </si>
  <si>
    <t>Bamber, Jonathan/0000-0002-2280-2819; Vaughan, David/0000-0002-9065-0570</t>
  </si>
  <si>
    <t>0-946417-22-9</t>
  </si>
  <si>
    <t>ANN GLACIOL-SER</t>
  </si>
  <si>
    <t>Geochemistry &amp; Geophysics; Geology; Geosciences, Multidisciplinary; Meteorology &amp; Atmospheric Sciences</t>
  </si>
  <si>
    <t>Geochemistry &amp; Geophysics; Geology; Meteorology &amp; Atmospheric Sciences</t>
  </si>
  <si>
    <t>BM76J</t>
  </si>
  <si>
    <t>WOS:000079713100001</t>
  </si>
  <si>
    <t>Lingle, CS; Covey, DN</t>
  </si>
  <si>
    <t>Elevation changes on the East Antarctic ice sheet, 1978-93, from satellite radar altimetry: a preliminary assessment</t>
  </si>
  <si>
    <t>INDUCED ERRORS; RETRACKING; GROWTH</t>
  </si>
  <si>
    <t>Radar altimeter data from Seasat (1978), Geosat (1985-88) and ERS-1 (1991-93) are employed to estimate multi-year mean changes of the surface height throughout a region on the East Antarctic ice sheet (EAIS) extending to 72.1 degrees S, the southernmost limit of coverage for Seasat and Geosat altimetry, and above 1500 m elevation, using orbit crossover analysis. The changes are estimated on a same-season (austral late-winter (ALW) to ALW) basis, where ALW is the 10 July-9 October time-frame of the Seasat altimetry. Altimeter data corrected for slope-induced errors are used. Altimeter data not corrected for slope-induced errors are also used, for comparison. Intersatellite orbit bias, combined with the effect of other radial errors such as instrumental bias, is estimated using crossover differences on the offshore ALW sea ice, which is employed as a geoid-parallel reference surface. If similar intersatellite radial biases are characteristic of the continental Antarctic ice-sheet altimetry to 72.1 degrees S, the results of all crossover analyses - adjusted for this intersatellite bias - suggest that the mean rate-of-change of the surface height between Seasat and Geosat for ALWs 1978 to 1986-88 was within the range + 11 to - 11 mm a(-1). The bias-adjusted results of all crossover analyses between Seasat and ERS-1 suggest that the mean rate-of-change of the surface height between ALWs 1978 (maximum intersatellite bias estimate) and 1991-93 was within the range -17 to -55 mm a(-1) or O to -40 mm a(-1) (minimum bias estimate), suggesting that the surface may have lowered slightly during this time interval. The inconsistency of the adjusted Seasat to Geosat vs Seasat to ERS-1 results, however, may be an indication that orbits more accurate than JGM-2 are needed for estimation of regional multi-year mean changes of elevation on the EAIS. Alternatively, it may be a reflection of the differing orbit inclinations of Seasat and ERS-1.</t>
  </si>
  <si>
    <t>Univ Alaska, Inst Geophys, Fairbanks, AK 99775 USA</t>
  </si>
  <si>
    <t>University of Alaska System; University of Alaska Fairbanks</t>
  </si>
  <si>
    <t>Lingle, CS (corresponding author), Univ Alaska, Inst Geophys, POB 757320, Fairbanks, AK 99775 USA.</t>
  </si>
  <si>
    <t>WOS:000079713100002</t>
  </si>
  <si>
    <t>Phillips, HA; Allison, I; Coleman, R; Hyland, G; Morgan, PJ; Young, NW</t>
  </si>
  <si>
    <t>Comparison of ERS satellite radar altimeter heights with GPS-derived heights on the Amery Ice Shelf, East Antarctica</t>
  </si>
  <si>
    <t>In the spring of 1995 an extensive global positioning system (GPS) survey was carried out on the Amery Ice Shelf, East Antarctica, providing ground-truth ellipsoidal height measurements for the European remote-sensing satellite (ERS) radar altimeters. GPS- and altimeter-derived surface heights have been compared at the intersecting points of the ERS ground tracks and the GPS survey. The mean and rms height difference for all ERS-1 geodetic-phase tracks across the survey region is 0.0 +/- 0.1m and 1.7 m, respectively. The spatial distribution of the height differences is highly correlated with surface topographic variations. Comparisons of GPS-derived surface-elevation profiles along ERS ground tracks show that the ERS altimeters can closely follow the GPS representation of the actual surface.</t>
  </si>
  <si>
    <t>Univ Tasmania, Antarctic CRC &amp; IASOS, Hobart, Tas 7001, Australia; Univ Tasmania, Antarctic CRC &amp; Australian Antarctic Div, Hobart, Tas 7001, Australia; Univ Tasmania, Dept Geog &amp; Environm Studies, Hobart, Tas 7001, Australia; Univ Canberra, Fac Informat Sci &amp; Engn, Belconnen, ACT 2616, Australia</t>
  </si>
  <si>
    <t>University of Tasmania; University of Tasmania; Australian Antarctic Division; University of Tasmania; University of Canberra</t>
  </si>
  <si>
    <t>Univ Tasmania, Antarctic CRC &amp; IASOS, Box 252-80, Hobart, Tas 7001, Australia.</t>
  </si>
  <si>
    <t>Allison, Ian F/I-4477-2015; Coleman, Richard/H-4425-2012</t>
  </si>
  <si>
    <t>Allison, Ian F/0000-0001-9599-0251; Young, Neal/0000-0001-9729-3273; Coleman, Richard/0000-0002-9731-7498</t>
  </si>
  <si>
    <t>WOS:000079713100003</t>
  </si>
  <si>
    <t>Rignot, E</t>
  </si>
  <si>
    <t>Radar interferometry detection of hinge-line migration on Rutford Ice Stream and Carlson Inlet, Antarctica</t>
  </si>
  <si>
    <t>GROUNDING LINES; SHEET; GREENLAND; MOTION; SHELF</t>
  </si>
  <si>
    <t>Satellite synthetic aperture radar interferometry is employed to map the hinge-line position, or limit of tidal flexing, of Rutford Ice Stream (RIS) and Carlson Inlet (CI), Antarctica, and detect its horizontal migration between 1992 and 1996. The hinge-line position is mapped using a model fit from an elastic-beam theory. The rms noise of the model fit is 1-7 mm. The hinge-line position is located with a statistical noise of 30-50 m. Using this method, we find no hinge-line migration on RIS and CI. Only the southern flank of CI, which is stagnant (velocity 10-20 m a(-1) vs 100 m a(-1) in the main flow of CI), retreated 376 +/- 36 m in 1 years. The effect of changes in ocean tide is calculated to yield a 60 m advance of the hinge-line position in our data. Hence, the detected stationarity of the hinge-line positions suggests stable ice-thickness conditions at the hinge line, except for the southern flank of CI which may be thinning. A comparison of the ice discharge calculated at the grounding line of RIS (17 +/- 2 km(3) ice a(-1)) and of CI Ice a (2.9 +/- 0.3km(3) a(-1) ) with mass input from the interior regions (20 +/- 3 km(3) ice a(-1) for RIS and 2.9 +/- 0.4 km(3) a(-1) for CI) suggests a balanced mass budget for CI, whereas RIS may have a slightly positive mass budget of 3 +/- 4 km(3) ice a(-1).</t>
  </si>
  <si>
    <t>CALTECH, Jet Prop Lab, Pasadena, CA 91109 USA</t>
  </si>
  <si>
    <t>National Aeronautics &amp; Space Administration (NASA); NASA Jet Propulsion Laboratory (JPL); California Institute of Technology</t>
  </si>
  <si>
    <t>Rignot, E (corresponding author), CALTECH, Jet Prop Lab, 4800 Oak Grove Dr,Mail Stop 300-235, Pasadena, CA 91109 USA.</t>
  </si>
  <si>
    <t>Rignot, Eric/A-4560-2014</t>
  </si>
  <si>
    <t>Rignot, Eric/0000-0002-3366-0481</t>
  </si>
  <si>
    <t>LENSFIELD RD, CAMBRIDGE, ENGLAND CB2 1ER</t>
  </si>
  <si>
    <t>WOS:000079713100004</t>
  </si>
  <si>
    <t>Ferrigno, JG; Williams, RS; Rosanova, CE; Lucchitta, BK; Swithinbank, C</t>
  </si>
  <si>
    <t>Analysis of coastal change in Marie Byrd Land and Ellsworth Land, West Antarctica, using Landsat imagery</t>
  </si>
  <si>
    <t>LARSEN ICE SHELF; GLACIER</t>
  </si>
  <si>
    <t>The U.S. Geological Survey is using Landsat imagery from the early 1970s and mid- to late 1980s/early 1990s to analyze glaciological features, compile a glacier inventory, measure surface velocities of outlet glaciers, ice streams and ice shelves, determine coastline change and calculate the area and volume of iceberg calving in Antarctica. Ice-surface velocities in Marie Byrd and Ellsworth Lands, West Antarctica, range from the fast-moving Thwaites, Pine Island, Land and DeVicq Glaciers to the slower-moving ice shelves. The average ice-front velocity during the time interval of Landsat imagery, for the faster-moving outlet glaciers, was 2.9 km a(-1) for Thwaites Glacier 2.4 km a(-1) for Pine Island Glacier, 2.0 km a(-1) for Land Glacier and 1.4 km a(-1) for DeVicq Glacier. Evaluation of coastal change from the early 1970s to the early 1990s shows advance of the floating ice front in some coastal areas and recession in others, with an overall small average advance in the entire coastal study area, but no major trend towards advance or retreat. Comparison of average ice-surface velocities with changes in the ice front has yielded estimates of iceberg calving. The total iceberg calving from the Marie Byrd Land and Ellsworth Land coasts during the study period was greater than 8500 km(2) (estimated volume of about 2400 km(3)) or an average of about 550 km(2) a(-1) (more than 150 km(3) a(-1)). a a Almost 70% of this discharge is contributed by Thwaites and Pine Island Glaciers.</t>
  </si>
  <si>
    <t>US Geol Survey, Natl Ctr 955, Reston, VA 20192 USA; US Geol Survey, Woods Hole Field Ctr, Woods Hole, MA 02543 USA; US Geol Survey, Flagstaff, AZ 86001 USA; Univ Cambridge, Scott Polar Res Inst, Cambridge CB2 1ER, England</t>
  </si>
  <si>
    <t>United States Department of the Interior; United States Geological Survey; United States Department of the Interior; United States Geological Survey; United States Department of the Interior; United States Geological Survey; University of Cambridge</t>
  </si>
  <si>
    <t>Ferrigno, JG (corresponding author), US Geol Survey, Natl Ctr 955, Reston, VA 20192 USA.</t>
  </si>
  <si>
    <t>williams, Ray/HSE-3267-2023</t>
  </si>
  <si>
    <t>WOS:000079713100005</t>
  </si>
  <si>
    <t>Lucchitta, BK; Rosanova, CE</t>
  </si>
  <si>
    <t>Retreat of northern margins of George VI and Wilkins Ice Shelves, Antarctic Peninsula</t>
  </si>
  <si>
    <t>CLIMATE; WEST</t>
  </si>
  <si>
    <t>The George VI and Wilkins Ice Shelves are considered at risk of disintegration due to a regional atmospheric warming trend on the Antarctic Peninsula. Retreat of the northern margin of the George VI Ice Shelf has been observed previously, but the Wilkins Ice Shelf was thought to be stable. We investigated the positions of the northern fronts of these shelves from the literature and looked for changes on 1974 Landsat and 1992 and 1995 European remote-sensing satellite (ERS) synthetic aperture radar images. Our investigation shows that the northern George VI Ice Shelf lost a total of 906 km(2) between 1974 and 1992, and an additional 87 km(2) by 1995. The northern margin of the Wilkins Ice Shelf lost 796 km(2) between 1990 and 1992, and another 564 km(2) between 1992 and 1995. Armadas of tabular icebergs were visible in front of this shelf in the ERS images. These two ice shelves mark the southernmost documented conspicuous retreat of ice-shelf margins.</t>
  </si>
  <si>
    <t>US Geol Survey, Flagstaff, AZ 86001 USA</t>
  </si>
  <si>
    <t>United States Department of the Interior; United States Geological Survey</t>
  </si>
  <si>
    <t>Lucchitta, BK (corresponding author), US Geol Survey, 2255 N Gemini Dr, Flagstaff, AZ 86001 USA.</t>
  </si>
  <si>
    <t>WOS:000079713100006</t>
  </si>
  <si>
    <t>Rosanova, CE; Lucchitta, BK; Ferrigno, JG</t>
  </si>
  <si>
    <t>Velocities of Thwaites Glacier and smaller glaciers along the Marie Byrd Land coast, West Antarctica</t>
  </si>
  <si>
    <t>ICE STREAM; BENEATH</t>
  </si>
  <si>
    <t>Average velocities for time intervals ranging from &lt;1 to 15 years were measured by tracking ice-surface patterns on sequential Landsat and European Remote-sensing Satellite synthetic aperture radar images. Velocities of Thwaites Glacier range from 2.2 km a(-1) above the grounding line to 3.4 km a(-1) at the limit of measurements on Thwaites Glacier ice tongue. The glacier increases in velocity by about 1 km a(-1) where it crosses the grounding line. Over the period 1984-93,Thwaites Glacier ice tongue accelerated by about 0.6 km a(-1). Velocities of the floating part of several minor glaciers and some ice shelves are also determined: Land Glacier, 1.7-1.9 km a(-1); DeVicq Glacier, 0.7-1.1 km a(-1); Dotson Ice Shelf, 0.2-0.5 km a(-1); Getz Ice Shelf, 0.2-0.8 km a(-1) and Sulzberger Ice Shelf, 0.01-0.02 km a(-1). The high velocities along the Marie Byrd Land coast are consistent with the high precipitation rates over West Antarctica and, for some of the glaciers, the lack of buttressing ice shelves.</t>
  </si>
  <si>
    <t>US Geol Survey, Flagstaff, AZ 86001 USA; US Geol Survey, Natl Ctr 914, Reston, VA 22092 USA</t>
  </si>
  <si>
    <t>United States Department of the Interior; United States Geological Survey; United States Department of the Interior; United States Geological Survey</t>
  </si>
  <si>
    <t>Rosanova, CE (corresponding author), US Geol Survey, 2255 N Gemini Rd, Flagstaff, AZ 86001 USA.</t>
  </si>
  <si>
    <t>WOS:000079713100007</t>
  </si>
  <si>
    <t>Frezzotti, M; Capra, A; Vittuari, L</t>
  </si>
  <si>
    <t>Comparison between glacier ice velocities inferred from GPS and sequential satellite images</t>
  </si>
  <si>
    <t>SURFACE-VELOCITY; ANTARCTICA; STREAM; FIELD; SHELF</t>
  </si>
  <si>
    <t>Measurements derived from remote-sensing research and field surveys have provided new ice-velocity data for David Glacier-Drygalski Ice tongue and Priestly and Reeves Glaciers. Antarctica. Average surface velocities were determined by tracking crevasses and other patterns moving with the ice in two sequential satellite images. Velocity measurements were made for different time intervals (1973-90, 1990 92, etc.) using images from various satellite sensors (Landsat 1 MSS, Landsat TM, SPOT XS). In a study of the dynamics of David Glacier-Drygalski Ice tongue and Priestley and Reeves Glaciers. global positioning system (GPS) measurements were made between 1989 and 1994. A number of points were measured on each glacier: five points on David Glacier, three on Drygalski Ice Tongue, two on Reeves Glacier-Nansen Ice Sheet and two on Priestley Glacier. Comparison of the results from GPS data and feature-tracking in areas close to image tie-points shows that errors in measured average velocity from the fi feature-tracking may be as little as +/- 15-20 m a(-1). In areas far from tie-points, such as the outer part of Drygalski Ice Tongue, comparison of the two types of measurements shows differences of about +/- 70 m a(-1).</t>
  </si>
  <si>
    <t>CRE Casaccia, ENEA Dip Ambiente, I-00100 Rome, AD, Italy; Univ Bologna, DISTART, I-40136 Bologna, Italy</t>
  </si>
  <si>
    <t>Italian National Agency New Technical Energy &amp; Sustainable Economics Development; University of Bologna</t>
  </si>
  <si>
    <t>CRE Casaccia, ENEA Dip Ambiente, POB 2400, I-00100 Rome, AD, Italy.</t>
  </si>
  <si>
    <t>FREZZOTTI, Massimo/AAK-7275-2020; Vittuari, Luca/C-1606-2018; Capra, Alessandro/L-9743-2015</t>
  </si>
  <si>
    <t>FREZZOTTI, Massimo/0000-0002-2461-2883; Capra, Alessandro/0000-0001-6660-3291; Vittuari, Luca/0000-0002-9815-1004</t>
  </si>
  <si>
    <t>WOS:000079713100008</t>
  </si>
  <si>
    <t>Scambos, TA; Nereson, NA; Fahnestock, MA</t>
  </si>
  <si>
    <t>Detailed topography of Roosevelt Island and Siple Dome, West Antarctica</t>
  </si>
  <si>
    <t>SATELLITE IMAGERY; ICE; RADAR</t>
  </si>
  <si>
    <t>Detailed surface topography is presented for two dome features of the West Antarctic ice sheet, Siple Dome and Roosevelt Island. Both these domes show linear topographic features, or scars on their flanks. Topography is determined from a combination of existing digital elevation models (DEMs; based on satellite radar altimetry), photoclinometry (using advanced very high-resolution radiometer images to quantitatively infer topographic details) and in the case of Siple Dome, surface global positioning system topographic profiles. The enhanced DEMs provide heights and shapes for a variety of surface features in the vicinity of the domes, such as scars, surface undulations, ice rises and the domes themselves. The DEMs indicate that the scar features on both domes are high relative to adjacent rapid-ice-flow areas. Scars and other related morphologic features on the flanks of both domes can be interpreted as former active ice streams and stream margins. For Siple Dome, this interpretation is confirmed by radar profiling. The evolution of the topographic height of the scars is a combination of two processes: initial elevation rise due to a positive mass balance at the shear margin in the immediate aftermath of shut-down of the ice stream; and later downslope flow as the scars become part of the dome and the dome surface velocity field. Superimposed on these events is accumulation, which buries the original shear margin but elevates the scar surface expression. Depending upon the timing of shut-down, and the relative magnitude of these processes, the height of the scars above the current rapidly flowing surfaces may be indicative of ice-sheet thinning since shut-down, or dome expansion across former ice-stream trunks in a more or less steady-state ice sheet.</t>
  </si>
  <si>
    <t>Univ Colorado, Natl Snow &amp; Ice Data Ctr, CIRES, Boulder, CO 80309 USA; Univ Washington, Geophys Program, Seattle, WA 98150 USA; Univ Maryland, Joint Ctr Earth Syst Sci, College Pk, MD 20742 USA</t>
  </si>
  <si>
    <t>University of Colorado System; University of Colorado Boulder; University of Washington; University of Washington Seattle; University System of Maryland; University of Maryland College Park</t>
  </si>
  <si>
    <t>Scambos, TA (corresponding author), Univ Colorado, Natl Snow &amp; Ice Data Ctr, CIRES, Campus Box 449, Boulder, CO 80309 USA.</t>
  </si>
  <si>
    <t>Scambos, Ted A/B-1856-2009; Fahnestock, Mark A/N-2678-2013</t>
  </si>
  <si>
    <t>SCAMBOS, Ted A./0000-0003-4268-6322</t>
  </si>
  <si>
    <t>WOS:000079713100009</t>
  </si>
  <si>
    <t>Young, NW; Turner, D; Hyland, G; Williams, RN</t>
  </si>
  <si>
    <t>Near-coastal iceberg distributions in East Antarctica, 50-145°E</t>
  </si>
  <si>
    <t>SYNTHETIC-APERTURE RADAR; ICE</t>
  </si>
  <si>
    <t>A survey of icebergs using satellite radar images has been made in the seasonal sea-ice zone of East Antarctica in the sector between longitudes 50 degrees and 145 degrees E. These data provide information on the spatial distribution and size statistics of icebergs near the coast in areas not often visited by shipboard observers, and close to their sources at ice shelves and glacier tongues. The icebergs are detected and their dimensions extracted by analysis of the texture properties present in satellite images acquired with ERS-1 synthetic aperture radar during the austral winter. The minimum size of iceberg reliably detected and measured is 0.06 km(2). A significant variation, by up to a factor of two, is found in the area of icebergs close to different sections of the coast, which suggests a characteristic size for different sources. The average value of the length-to-width ratio for icebergs in the: whole population shows some variability with size. The probability of finding icebergs is greatest close to the coast, decreasing in general with distance from the coast, such that few icebergs were detected more than 160 km from the coast. In one sector about 85 degrees E, icebergs are found to at least 550 km from the coast. which is consistent with the transport of icebergs northwards in this region by a branch of the westward-heading near-coastal current (East Wind Drift) which connects with the southern margins of the eastward-heading Antarctic Circumpolar Current.</t>
  </si>
  <si>
    <t>Antarctic CRC &amp; Australian Antarctic Div, Hobart, Tas 7001, Australia; Univ Tasmania, Dept Comp, Launceston, Tas 7250, Australia</t>
  </si>
  <si>
    <t>Australian Antarctic Division; University of Tasmania</t>
  </si>
  <si>
    <t>Young, NW (corresponding author), Antarctic CRC &amp; Australian Antarctic Div, Box 252-80, Hobart, Tas 7001, Australia.</t>
  </si>
  <si>
    <t>williams, Ray/HSE-3267-2023; Williams, Raymond/J-6104-2012; Turner, Darren/O-4839-2017</t>
  </si>
  <si>
    <t>Turner, Darren/0000-0002-3029-6717; Young, Neal/0000-0001-9729-3273</t>
  </si>
  <si>
    <t>WOS:000079713100010</t>
  </si>
  <si>
    <t>Williams, MJM; Warner, RC; Budd, WF</t>
  </si>
  <si>
    <t>The effects of ocean warming on melting and ocean circulation under the Amery Ice Shelf, East Antarctica</t>
  </si>
  <si>
    <t>MASS-BALANCE; MODEL</t>
  </si>
  <si>
    <t>Using a three-dimensional ocean model specially adapted to the ocean cavity under the Amery Ice Shelf, we investigated the present ocean circulation and pattern of ice-shelf basal melting and freezing, the differences which would result from temperature changes in the seas adjacent to the Amery Ice Shelf, and the ramifications of these changes for the mass balance of the ice shelf. Under present conditions we estimate the net loss from the Amery Ice Shelf from excess basal melting over freezing at approximately 7.8 Gt a(-1). This comprises a gross loss of 11.4 Gt a(-1) at a mean rate of 0.42 m a(-1), which is partially offset by freezing-on of 3.6 Gt a(-1), at a mean rate of 0.19 m a(-1) When the adjacent seas were assumed to warm by 1 degrees C, we found the net melt increased to 31.6 Gt a(-1), comprising 34.6 Gt a(-1) of gross melt and 3.0 Gt a(-1) of freezing.</t>
  </si>
  <si>
    <t>Univ Tasmania, Antarctic CRC &amp; IASOS, Hobart, Tas 7001, Australia; Antarctic CRC, Hobart, Tas 7001, Australia</t>
  </si>
  <si>
    <t>Williams, MJM (corresponding author), Univ Tasmania, Antarctic CRC &amp; IASOS, Box 252-80, Hobart, Tas 7001, Australia.</t>
  </si>
  <si>
    <t>Warner, Robert R./M-5342-2013; Williams, Michael/H-9674-2014</t>
  </si>
  <si>
    <t>Warner, Roland/0000-0002-9778-3544</t>
  </si>
  <si>
    <t>WOS:000079713100011</t>
  </si>
  <si>
    <t>Rémy, F; Legrésy, B</t>
  </si>
  <si>
    <t>Antarctic non-stationary signals derived from Seasat-ERS-1 altimetry comparison</t>
  </si>
  <si>
    <t>ICE-SHEET; CONTINENTAL ICE; HEIGHT MEASUREMENTS; SEA-LEVEL; ACCUMULATION; GREENLAND; SNOW</t>
  </si>
  <si>
    <t>Geographical changes in the height of the Antarctic ice sheet between 1978 and 1992 are mapped using altimeter data from Seasat and ERS-1 via an inverse technique that allows us to take into account the whole altimetric error budget. In a belt between 70 degrees and 72 degrees S and between 150 degrees and 80 degrees E, a precision better than 40 cm is found for the surface elevation change, while the change in height averaged in the along-slope direction has a precision of around 10-20 cm, leading to a precision better than 10% of the mass balance. These data suggest a relative positive imbalance of around 20% in this sector for the western and high-altitude areas, and a relative negative imbalance in some areas of lower altitude.</t>
  </si>
  <si>
    <t>UPS, CNRS, CNES, UMR 5566, F-31401 Toulouse 4,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</si>
  <si>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</si>
  <si>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UPS, CNRS, CNES, UMR 5566, 18 Av E Belin, F-31401 Toulouse 4, France.</t>
  </si>
  <si>
    <t>legresy, benoit/K-6673-2018</t>
  </si>
  <si>
    <t>legresy, benoit/0000-0002-1909-1630</t>
  </si>
  <si>
    <t>WOS:000079713100012</t>
  </si>
  <si>
    <t>Rott, H; Rack, W; Nagler, T; Skvarca, P</t>
  </si>
  <si>
    <t>Climatically induced retreat and collapse of northern Larsen Ice Shelf, Antarctic Peninsula</t>
  </si>
  <si>
    <t>The areal changes of the northern Larsen Ice Shelf (LIS), Antarctic Peninsula. between March 1986 and March 1997 have been analyzed, based on synthetic aperture radar images of the European remote-sensing satellites ERS-1 and ERS-2 and on Landsat images. This analysis is complemented by data on ice motion and surface mass balance which have been obtained during several field campaigns since the early 1980s. After a period of retreat; coinciding with atmospheric warming and with decreasing net accumulation at the surface due to melt losses, the two northernmost sections of LIS disintegrated almost completely within a few days in January 1995. Recent observations of the: ice-shelf section north of Jason Peninsula, which is presently the northernmost section of LIS, show increased summer melt and intensification of the rifting processes, plat,ably causing accelerated retreat of this section in the near future. The retreat and the disintegration event of LIS indicate high sensitivity of ice shelves to prolonged perturbations of the mass balance.</t>
  </si>
  <si>
    <t>Univ Innsbruck, Inst Geophys &amp; Meteorol, A-6020 Innsbruck, Austria; Inst Antartico Argentino, RA-1010 Buenos Aires, DF, Argentina</t>
  </si>
  <si>
    <t>University of Innsbruck; Instituto Antartico Argentino</t>
  </si>
  <si>
    <t>Univ Innsbruck, Inst Geophys &amp; Meteorol, A-6020 Innsbruck, Austria.</t>
  </si>
  <si>
    <t>Rack, Wolfgang/U-8898-2017</t>
  </si>
  <si>
    <t>Rack, Wolfgang/0000-0003-2447-377X</t>
  </si>
  <si>
    <t>WOS:000079713100013</t>
  </si>
  <si>
    <t>Keys, HJR; Jacobs, SS; Brigham, LW</t>
  </si>
  <si>
    <t>Continued northward expansion of the Ross Ice Shelf, Antarctica</t>
  </si>
  <si>
    <t>MASS-BALANCE; RETREAT; FIELD</t>
  </si>
  <si>
    <t>The last major calving event along the Ross Ice Shelf (RIS, Antarctica) front occurred a decade ago, following a substantial increase in the rate of ice-front advance in the few years preceding the event. This B-9 event, on the eastern part of the front between Edward VII Peninsula and Roosevelt Island, removed approximate to 5100 km(2) of ice, about 100 years of advance in that sector, but reduced the ice-shelf area by only 1 %. Since 1987 the entire ice front has continued to advance, more than regaining the area lost during the B-9 event. The western front is now well north of any position recorded during the last 150 years, and it has not experienced major calving for at least 90 years. Ice-front heights generally decrease from east to west, but local variability is high. Elevations are relatively low from 171 degrees to 177 degrees W; the location of warm Modified Circumpolar Deep Water circulation beneath the outer ice shelf. Modern heights considerably exceed historical heights between 179 degrees Wand 178 degrees E and are lower west of 174 degrees E, probably due to recent dynamic changes such as rifting and the western advance. The general advance of the RIS front and the period of several decades to more than a century that elapses between major calving events is consistent with a relatively stable ice front. This contrasts with several smaller ice shelves along the Antarctic Peninsula and McMurdo Ice Shelf in the Ross Sea which have retreated substantially during the past few decades.</t>
  </si>
  <si>
    <t>Dept Conservat, Turangi, New Zealand; Columbia Univ, Lamont Doherty Earth Observ, Palisades, NY 10964 USA; USN, Postgrad Sch, Dept Oceanog, Monterey, CA 93943 USA</t>
  </si>
  <si>
    <t>Columbia University; United States Department of Defense; United States Navy; Naval Postgraduate School</t>
  </si>
  <si>
    <t>Keys, HJR (corresponding author), Dept Conservat, Turangi, New Zealand.</t>
  </si>
  <si>
    <t>WOS:000079713100014</t>
  </si>
  <si>
    <t>Grosfeld, K; Gerdes, R</t>
  </si>
  <si>
    <t>Circulation beneath the Filchner Ice Shelf, Antarctica, and its sensitivity to changes in the oceanic environment: a case-study</t>
  </si>
  <si>
    <t>THERMOHALINE CIRCULATION; MODEL; EQUATION; SEA</t>
  </si>
  <si>
    <t>We investigate the sensitivity of the ocean circulation in the Filchner Trough to changes in the large-scale oceanic environment and its impact on the mass balance of the Filchner Ice Shelf, Antarctica. Three experiments with a three-dimensional ocean model describe (i) the current situation, (ii) a scenario with increased ocean temperatures, and (iii) a scenario with reduced sea-ice formation rates on the adjacent continental shelf. In the final discussion brief results of a combined scenario with increased ocean temperatures and reduced sea-ice formation are presented. The changes from the current situation affect the circulation in the Filchner Trough, and melting and freezing processes beneath the ice shelf. The latter affect the amount and properties of Ice Shelf Water (ISW), a component of Antarctic Bottom Water. Net basal melt rates provide an overall measure for the changes: while the control run yields 0.35 m a(-1) net melting averaged over the Filchner Ice Shelf area, the warming scenario results in a more than twofold increase in ice-shelf mass loss. Reduced production of High Salinity Shelf Water due to smaller sea-ice formation rates in the second scenario leads, on the other hand, to a decrease in basal mass loss, because the deep cavity is less well ventilated than in the control run. ISW is cooled and the ice shelf is stabilized under this scenario, which is arguably the more likely development in the southern Weddell Sea.</t>
  </si>
  <si>
    <t>Grosfeld, K (corresponding author), Alfred Wegener Inst Polar &amp; Marine Res, Postfach 120161, D-27515 Bremerhaven, Germany.</t>
  </si>
  <si>
    <t>Grosfeld, Klaus/0000-0001-5936-179X</t>
  </si>
  <si>
    <t>WOS:000079713100015</t>
  </si>
  <si>
    <t>Wen, JH; Kang, JC; Han, JK; Xie, ZC; Liu, LB; Wang, DL</t>
  </si>
  <si>
    <t>Glaciological studies on the King George Island ice cap, South Shetland Islands, Antarctica</t>
  </si>
  <si>
    <t>EQUILIBRIUM-LINE; BALANCE; GLACIER</t>
  </si>
  <si>
    <t>The King George Island ice cap, South Shetland Islands, Antarctica, was studied between 1985 and 1992. At the steady-state equilibrium-line altitude of the ice cap, the mean annual temperature is -3.6 degrees C, the mean summer (December-February) temperature is 0 degrees C and annual precipitation is 800 mm w.e. Precipitation increases rapidly with elevation, and annual accumulation rate at the Main Dome summit reaches 2480mm a(-1). Between 1985 and 1991 the equilibrium-line elevation averaged 140-2480 mm a 150 m a.s.l. The ice cap has been in an overall stable state for the past 20 years, going from a weak negative to a small positive mass imbalance as increased precipitation outweighs the effects of rising temperatures. Temperatures at the bottom of the active layer over most of the accumulation area are close to 0 degrees C, with colder temperatures down to -1.9 degrees C in the ablation zone. Soluble impurities in the ice cap are mainly from marine sources, while undissolved mineral material amounts to only 15-54% of the total microparticle content.</t>
  </si>
  <si>
    <t>Polar Res Inst China, Shanghai 200129, Peoples R China; E China Normal Univ, Dept Geog, Shanghai 200062, Peoples R China; Hunan Normal Univ, Dept Resources &amp; Environm, Changsha 410081, Peoples R China</t>
  </si>
  <si>
    <t>Polar Research Institute of China; East China Normal University; Hunan Normal University</t>
  </si>
  <si>
    <t>Wen, JH (corresponding author), Polar Res Inst China, Shanghai 200129, Peoples R China.</t>
  </si>
  <si>
    <t>Wang, Dong/R-9624-2018</t>
  </si>
  <si>
    <t>WOS:000079713100016</t>
  </si>
  <si>
    <t>Hjort, C; Björck, S; Ingólfsson, O; Möller, P</t>
  </si>
  <si>
    <t>Holocene deglaciation and climate history of the northern Antarctic Peninsula region:: a discussion of correlations between the Southern and Northern Hemispheres</t>
  </si>
  <si>
    <t>JAMES-ROSS-ISLAND; GLACIAL HISTORY; LAKE-SEDIMENTS; ICE-SHEET; RETREAT; SEA</t>
  </si>
  <si>
    <t>The chronology of post-last Glacial Maximum dceglaciation in the northern Antarctic Peninsula region is discussed. It is concluded that, contrary to what was earlier believed, the deglaciation process here was largely out-of-phase with that in the Northern Hemisphere. Although, for global eustatic reasons, the marine-based glaciers may have retreated simultaneously with ice-melting in the Northern Hemisphere, the land-based glaciers retreated only slowly during the first half of the Hulocene, about 9000-5000 BP. This may have been due either to increased precipitation counterweighing ablation or to delayed warming: A distinct but rather brief glacial readvance took place. around 5000 BP, probably caused by a period of renewed cooling It was followed by the Holocene climatic optimum, about 4000-3000 Be This warm hypsithermal period thus came much later than its equivalent in the Northern Hemisphere, but it roughly coincided with the Milankovitchean Holocene insolation maximum for these southern latitudes.</t>
  </si>
  <si>
    <t>Univ Lund, Dept Quaternary Geol, S-22362 Lund, Sweden; Univ Copenhagen, Dept Geol, DK-1350 Copenhagen, Denmark; Univ Gothenburg, Dept Geol, S-41381 Gothenburg, Sweden</t>
  </si>
  <si>
    <t>Lund University; University of Copenhagen; University of Gothenburg</t>
  </si>
  <si>
    <t>Hjort, C (corresponding author), Univ Lund, Dept Quaternary Geol, Solvegatan 13, S-22362 Lund, Sweden.</t>
  </si>
  <si>
    <t>Möller, Per/AAJ-7963-2020; Ingolfsson, Olafur/L-8950-2015</t>
  </si>
  <si>
    <t>Möller, Per/0000-0001-5365-2668; Ingolfsson, Olafur/0000-0001-8143-2005</t>
  </si>
  <si>
    <t>WOS:000079713100017</t>
  </si>
  <si>
    <t>Smith, AM; Vaughan, DG; Doake, CSM; Johnson, AC</t>
  </si>
  <si>
    <t>Surface lowering of the ice ramp at Rothera Point, Antarctic Peninsula, in response to regional climate change</t>
  </si>
  <si>
    <t>AIR-TEMPERATURE; PRECIPITATION; VARIABILITY; RETREAT; RECORD; SHELF</t>
  </si>
  <si>
    <t>Level-line surveys at a number of sites on the Antarctic Peninsula since the early 1970s have shown a lowering of the ice surface elevation in areas where the climate is warm enough for melting to occur during summer. Results are presented here from annual surveys on the ice ramp at Rothera Point. Over an 8 year period, a large proportion of the ramp shows a generally steady reduction in surface elevation. The uppermost part of the ramp shows no clear trend. The ice ramp has suffered a mean rate of surface lowering of 0.32 m a(-1) we. over the period of the surveys, which is similar to that seen at other sites on the Antarctic Peninsula. Measured ice velocities on the ramp are low so the surface lowering can be attributed directly to changes in surface mass balance. The surveys coincide with a period of long-term increase in temperature and ablation seen in meteorological records. Comparison of the observed surface lowering with temperature data shows a good agreement, and we conclude that increasing air temperatures in the region will raise ablation and increase the recession rate of the ice ramp.</t>
  </si>
  <si>
    <t>British Antarctic Survey, NERC, Ice &amp; Climate Div, Cambridge CB3 0ET, England; British Antarctic Survey, NERC, Geosci Div, Cambridge CB3 0ET, England</t>
  </si>
  <si>
    <t>UK Research &amp; Innovation (UKRI); Natural Environment Research Council (NERC); NERC British Antarctic Survey; UK Research &amp; Innovation (UKRI); Natural Environment Research Council (NERC); NERC British Antarctic Survey</t>
  </si>
  <si>
    <t>Smith, AM (corresponding author), British Antarctic Survey, NERC, Ice &amp; Climate Div, High Cross,Madingley Rd, Cambridge CB3 0ET, England.</t>
  </si>
  <si>
    <t>Vaughan, David/C-8348-2011</t>
  </si>
  <si>
    <t>Vaughan, David/0000-0002-9065-0570</t>
  </si>
  <si>
    <t>WOS:000079713100018</t>
  </si>
  <si>
    <t>Chinn, TJ</t>
  </si>
  <si>
    <t>Recent fluctuations of the Dry Valleys glaciers, McMurdo Sound, Antarctica</t>
  </si>
  <si>
    <t>VICTORIA LAND; MASS-BALANCE; ICE</t>
  </si>
  <si>
    <t>The state of equilibrium of the frontal positions of the glaciers of the Dry Valleys area of McMurdo Sound, Antarctica, has been a subject of speculation since they were first seen. A programme to measure the changes in frontal positions of 12 ice-cliffed glaciers has been maintained since 1982-83, with a 30 year record for Meserve Glacier. Simple taped distances from fixed points to the fronts of the glaciers have demonstrated that, in proportion to their flow and ablation regimes which are two orders of magnitude slower than those of temperate glaciers, the glaciers are fluctuating as dynamically as do temperate glaciers. Maximum advance or recession rates have been found to be near +/- 1 m a(-1), changes which are almost undetectable in comparative photographs. Recession was found to be the dominant change trend, with yearly variations reflecting changes in annual ablation. The total height of the ice cliff gives a ready estimation of glacier equilibrium, with cliff heights being greatest on advancing glaciers. The division between advancing and receding glaciers was found to be at a cliff height of about 25 m.</t>
  </si>
  <si>
    <t>Alpine &amp; Polar Proc Consultancy, Crown Res, Dunedin, New Zealand</t>
  </si>
  <si>
    <t>Chinn, TJ (corresponding author), Alpine &amp; Polar Proc Consultancy, Crown Res, Private Bag 1930, Dunedin, New Zealand.</t>
  </si>
  <si>
    <t>WOS:000079713100019</t>
  </si>
  <si>
    <t>Hamilton, GS; Whillans, IM; Morgan, PJ</t>
  </si>
  <si>
    <t>First point measurements of ice-sheet thickness change in Antarctica</t>
  </si>
  <si>
    <t>STREAM-B; ALTIMETRY; VELOCITY</t>
  </si>
  <si>
    <t>Ice-sheet thickening or thinning rates in Antarctica are measured using the coffee-can or submergence velocity method. In this, repeated measurements of the positions of firn anchors are obtained using the global positioning system (GPS). The thickness change is the difference between vertical velocity so obtained and long-term rate of snow accumulation. Minor corrections for firn settling and downslope motion are made. The technique avoids difficulties of short-term fluctuations in snowfall or snow densification. The result for Byrd Station is near balance, -0.004 (0.022) m a(-1), and for the Dragon, just outboard of Ice Stream B, thinning at -0.096 (0.044) m a(-1) Uncertainties with these first results are mainly due to the short occupation times during the first GPS surveys.</t>
  </si>
  <si>
    <t>Ohio State Univ, Byrd Polar Res Ctr, Columbus, OH 43210 USA; Ohio State Univ, Dept Geol Sci, Columbus, OH 43210 USA; Univ Canberra, Fac Informat Sci &amp; Engn, Belconnen, ACT 2616, Australia</t>
  </si>
  <si>
    <t>University System of Ohio; Ohio State University; University System of Ohio; Ohio State University; University of Canberra</t>
  </si>
  <si>
    <t>Hamilton, GS (corresponding author), Ohio State Univ, Byrd Polar Res Ctr, Columbus, OH 43210 USA.</t>
  </si>
  <si>
    <t>WOS:000079713100020</t>
  </si>
  <si>
    <t>Casassa, G; Brecher, HH; Cárdenas, C; Rivera, A</t>
  </si>
  <si>
    <t>Mass balance of the Antarctic ice sheet at Patriot Hills</t>
  </si>
  <si>
    <t>Glaciological data collected at Patriot Hills, Antarctica (80 degrees 18 ' S, 81 degrees 22 ' W), are used to assess the local mass balance of the ice sheet. The data were collected during two field campaigns conducted by the Institute Antartico Chileno in January and November 1995. Measurements included surveying of stakes, and ice thickness derived from discrete radar soundings with a ground-based high-frequency impulse system. Ablation occurred on the bare-ice field at the base of Patriot Hills, with a maximum value of 7 g cm(-2) a(-1). Net accumulation was detected away from the mountains, over the firn-covered area of the glacier, with a maximum rate of 10 g cm(-2) a(-1). Ice thickens rapidly away from the mountains, reaching a thickness of 383 m, the maximum range of the radar system, near the center of the blue-ice field. No significant difference in surface elevation of the ice was detected over the 305 d period, which indicates that the ice is in near-equilibrium at Patriot Hills.</t>
  </si>
  <si>
    <t>Univ Magallanes, Punta Arenas, Chile; Ohio State Univ, Byrd Polar Res Ctr, Columbus, OH 43210 USA; Univ Chile, Dept Geog, Santiago, Chile</t>
  </si>
  <si>
    <t>Universidad de Magallanes; University System of Ohio; Ohio State University; Universidad de Chile</t>
  </si>
  <si>
    <t>Casassa, G (corresponding author), Univ Magallanes, Casilla 113-D, Punta Arenas, Chile.</t>
  </si>
  <si>
    <t>Casassa, Gino/AAX-6142-2020</t>
  </si>
  <si>
    <t>Rivera, Andres/0000-0002-2779-4192; Cardenas, Carlos/0000-0003-1011-643X</t>
  </si>
  <si>
    <t>WOS:000079713100021</t>
  </si>
  <si>
    <t>Morgan, V; van Ommen, TD; Elcheikh, A; Jun, L</t>
  </si>
  <si>
    <t>Variations in shear deformation rate with depth at Dome Summit South, Law Dome, East Antarctica</t>
  </si>
  <si>
    <t>ICE; HOLE</t>
  </si>
  <si>
    <t>The variation of shear deformation rate with depth at the Dome Summit South (DSS) site, 4.7 km (similar to 4 ice thicknesses) from the summit of Law Dome, East Antarctica, has been determined by repeated borehole inclination measurement. The results show that from the surface down to 1000 m (ice-equivalent depth) deformation rates increase as expected with the increase in stress, temperature and the development of stronger ice-crystal fabrics. There is a broad maximum in strain rate around 1000 m. Below this depth, strain rates decrease, with values in the basal ice similar to 1/3 of those at 1000 m. In DSS, Holocene ice with low uniform impurity levels extends to a depth of 1110 m, so the decrease in shear rate below 1000 m is attributed not to any change in properties of the ice, but to shear stress reduction induced by the large-scale retarding effect of local bedrock hills. Below 1000 m, within the zone of retarded flow, there is a narrow spike, 14 m thick, in which the shear rate is similar to 5 times that in the ice immediately above and below The shear-rate spike corresponds in depth to ice with high dust concentrations, small crystal size and strong vertical c-axis fabrics that was deposited at the Last Glacial Maximum. A surface velocity of 1.98 +/- 0.03 m a(-1) obtained by integration of shear rate over the borehole depth is in agreement with the value of 2.04 +/- 0.11 m a(-1) obtained by the global positioning system. The ratio of average column velocity to surface velocity determined by the borehole measurements is 0.74. A value of 0.76 is obtained from mass-balance considerations.</t>
  </si>
  <si>
    <t>Antarctic CRC &amp; Australian Antarctic Div, Hobart, Tas 7001, Australia</t>
  </si>
  <si>
    <t>Morgan, V (corresponding author), Antarctic CRC &amp; Australian Antarctic Div, Box 252-80, Hobart, Tas 7001, Australia.</t>
  </si>
  <si>
    <t>van Ommen, Tas/B-5020-2012</t>
  </si>
  <si>
    <t>van Ommen, Tas/0000-0002-2463-1718</t>
  </si>
  <si>
    <t>WOS:000079713100022</t>
  </si>
  <si>
    <t>Price, SF; Whillans, IM</t>
  </si>
  <si>
    <t>Delineation of a catchment boundary using velocity and elevation measurements</t>
  </si>
  <si>
    <t>ICE STREAM-C; WEST ANTARCTICA; FLOW</t>
  </si>
  <si>
    <t>The determination of catchment boundaries is a major source of uncertainty in net balance studies on large ice sheets. Here, a method for defining a catchment boundary is developed using new measurements of ice-surface velocity and elevation near the Ice Stream B/C boundary in West Antarctica. An objective method for estimating confidence in the catchment boundary is proposed. Using elevation data, the resulting mean standard deviation in boundary location is 13 km in position or 6000 km(2) in area. Applying a similar uncertainty to both sides of the Ice Stream B catchment results in a catchment-area uncertainty of 9%. Much larger uncertainties arise when the method is applied to velocity data. The uncertainty in both cases is primarily determined by the density of field measurements and is proportionally similar for larger catchment basins. Differences in the position of the velocity-determined boundary and the elevation-determined boundary probably result from data sampling. The boundary positions determined here do not support the hypothesis that Ice Stream B captured parts of the Ice Stream C catchment.</t>
  </si>
  <si>
    <t>Ohio State Univ, Byrd Polar Res Ctr, Columbus, OH 43210 USA; Ohio State Univ, Dept Geol Sci, Columbus, OH 43210 USA</t>
  </si>
  <si>
    <t>University System of Ohio; Ohio State University; University System of Ohio; Ohio State University</t>
  </si>
  <si>
    <t>Price, SF (corresponding author), Ohio State Univ, Byrd Polar Res Ctr, Columbus, OH 43210 USA.</t>
  </si>
  <si>
    <t>Price, Stephen/E-1568-2013</t>
  </si>
  <si>
    <t>Price, Stephen/0000-0001-6878-2553</t>
  </si>
  <si>
    <t>WOS:000079713100023</t>
  </si>
  <si>
    <t>Gudmundsson, GH; Raymond, CF; Bindschadler, R</t>
  </si>
  <si>
    <t>The origin and longevity of flow stripes on Antarctic ice streams</t>
  </si>
  <si>
    <t>WEST ANTARCTICA; SURFACE; IMAGERY</t>
  </si>
  <si>
    <t>Flow stripes along the surface of rapidly moving ice streams are shown to be an expected reaction of a viscous medium flowing over an irregular bed, whenever the velocity at the bed is large compared to shearing through the thickness. The principal features of the process are as follows. At high basal speeds the ice acts as a strongly selective band-pass filter transmitting basal undulations on spatial scales of a few ice thicknesses very effectively to the surface. The decay of the short-scale features by diffusion is strongly retarded by horizontal stress gradients. Consequently, localized disturbances at the bed produce topographic effects on the surface that are advected long distances downstream before decaying away. This mechanism may explain many of the flow stripes on active ice streams moving by rapid basal motion.</t>
  </si>
  <si>
    <t>ETH Zentrum, Versuchanstalt Wasserbau Hydrol &amp; Glaziol, CH-8092 Zurich, Switzerland; Univ Washington, Geophys Program, Seattle, WA 98195 USA; NASA, Goddard Space Flight Ctr, Greenbelt, MD 20771 USA</t>
  </si>
  <si>
    <t>Swiss Federal Institutes of Technology Domain; ETH Zurich; University of Washington; University of Washington Seattle; National Aeronautics &amp; Space Administration (NASA); NASA Goddard Space Flight Center</t>
  </si>
  <si>
    <t>Gudmundsson, GH (corresponding author), ETH Zentrum, Versuchanstalt Wasserbau Hydrol &amp; Glaziol, Gloriastr 37-39, CH-8092 Zurich, Switzerland.</t>
  </si>
  <si>
    <t>Gudmundsson, Gudmundur Hilmar/F-6499-2012; Gudmundsson, Gudmundur Hilmar/AAU-5987-2020</t>
  </si>
  <si>
    <t>Gudmundsson, Gudmundur Hilmar/0000-0003-4236-5369; Gudmundsson, Gudmundur Hilmar/0000-0003-4236-5369</t>
  </si>
  <si>
    <t>WOS:000079713100024</t>
  </si>
  <si>
    <t>Budd, WF; Coutts, B; Warner, RC</t>
  </si>
  <si>
    <t>Modelling the Antarctic and Northern Hemisphere ice-sheet changes with global climate through the glacial cycle</t>
  </si>
  <si>
    <t>AGE; ACCUMULATION; CIRCULATION; BALANCE; MAXIMUM; RECORD; OCEAN</t>
  </si>
  <si>
    <t>The future behaviour of the Antarctic ice sheet depends to some extent on its current state of balance and its past history The past history is primarily influenced by global climate changes, with some small amount of local feedback, and by sea-level changes generated primarily by the Northern Hemisphere ice-sheet changes, again with a small amount of feedback from the Antarctic ice sheet. An ice-sheet model which includes ice shelves has been used to model the Antarctic region and the whole Northern Hemisphere high-latitude region through the last ice-age cycle. For the climate forcing, the results from the global energy-balance model of Budd and Rayner (1990) are used. These are based on the Earths orbital radiation changes with ice-sheet albedo feedback. Additional sensitivity studies are carried out for the amplitudes of the derived temperature changes and for changes in precipitation over the ice sheets. For the Antarctic snow-accumulation changes, the results from the Vostok ice core are used with proportional changes over the rest of the ice sheet. For the sea-level variations, the results generated by the Northern Hemisphere ice-sheet changes provide the primary forcing, but account is also taken of the feedback effects from bed response under changing ice and ocean loading and from the Antarctic changes. The results of the modelling provide a wide range of features for comparison with observations, such as the margins of maximum ice extent. For the Northern Hemisphere the results indicate that the peak mean temperature shift required for the ice-edge region is about -12 degrees C, whereas outside the ice-sheet region this change is smaller but over the ice sheets it is larger. For the Antarctic region during the ice age the interior region decreases ill thickness, due to lower accumulation, while the grounding-edge region expands and thickens due to the sea-level lowering. As a result, the derived present state of balance shows a positive region over most of inland East Antarctica: whereas coastal regions tend to he nearer to balance; with some slightly negative regions around some of the large ice shelves and coastal ice streams which are still adjusting slowly to the post-ice-age changes of sea level and accumulation rates.</t>
  </si>
  <si>
    <t>Antarctic CRC, Hobart, Tas 7001, Australia</t>
  </si>
  <si>
    <t>Warner, Roland Charles/ISS-2485-2023; Warner, Robert R./M-5342-2013</t>
  </si>
  <si>
    <t>Warner, Roland Charles/0000-0002-9778-3544;</t>
  </si>
  <si>
    <t>WOS:000079713100025</t>
  </si>
  <si>
    <t>Warner, RC; Budd, WF</t>
  </si>
  <si>
    <t>Modelling the long-term response of the Antarctic ice sheet to global warming</t>
  </si>
  <si>
    <t>MASS-BALANCE; SHELF</t>
  </si>
  <si>
    <t>The primary effects of global warming on the Antarctic ice sheet can involve increases in surface melt for limited areas at lower elevations, increases in net accumulation, and increased basal melting under floating ice. For moderate global warming, resulting in ocean temperature increases of a few OC, the barge increase in basal melting can become the dominant factor in the long-term response of the ice sheet. The results from ice-sheet modelling show that the increased basal melt rates lead to a reduction of the ice shelves, increased strain rates and flow at the grounding lines, then thinning and floating of the marine ice sheets, with consequential further basal melting. The mass loss from basal melting is counteracted to some extent by the increased accumulation, but in the long term the area of ice cover decreases, particularly in West Antarctica, and the mass loss can dominate. The ice-sheet-ice-shelf model of Budd and others (1994) with 20 km resolution has been modified and used to carry out a number of sensitivity studies of the long-term response of the ice sheet to prescribed amounts of global warming The changes in the ice sheet are computed out to near-equilibrium, but most of the changes take place within the first few thousand years. For a global mean temperature increase of 3 degrees C with an ice-shelf basal melt rate of 5 m a(-1) the ice shelfs disappear within the first few hundred years, and the marine-based parts of the ice sheet thin and retreat. By 2000 years the West Antarctic region is reduced to a number of small, isolated ice caps based on the bedrock regions which are near or above sea level. This allows the warmer surface ocean water to circulate through the archipelago in summer, causing a large change to the local climate of the region.</t>
  </si>
  <si>
    <t>Warner, RC (corresponding author), Antarctic CRC, Box 252-80, Hobart, Tas 7001, Australia.</t>
  </si>
  <si>
    <t>WOS:000079713100026</t>
  </si>
  <si>
    <t>Calov, R; Marsiat, I</t>
  </si>
  <si>
    <t>Simulations of the Northern Hemisphere through the last glacial-interglacial cycle with a vertically integrated and a three-dimensional thermomechanical ice-sheet model coupled to a climate model</t>
  </si>
  <si>
    <t>SCENARIOS</t>
  </si>
  <si>
    <t>We present simulations of the Northern Hemisphere land ice through the last glacial-interglacial cycle with a vertically integrated ice-sheet model and a three-dimensional thermomechanical ice-sheet model. Both models are coupled asynchronously to the zonally averaged Louvain-la-Neuve climate model, which includes simplified treatments of the atmosphere; ocean and sea ice. The two-dimensional vertically integrated ice-sheet model, which contains no thermomechanical coupling, was developed in spherical coordinates (Marsiat, 1994). The three-dimensional thermomechanical ice-sheet model was developed using the two-dimensional vertically integrated model as source. We compare results of the vertically integrated with those of the thermomechanical ice-sheet model. In the thermomechanical model the deformation properties of ice depend on the temperature within the ice and the enhancement factor; the latter is introduced to model, in a simplified approach, the different flow properties of Pleistocene and Holocene ice due to varying dust content. The computations with the thermomechanical model show that the growth and decay of the Northern Hemisphere ice sheets can be modelled with a common enhancement factor for all ice sheets. It is shown that there are model set-ups for the thermomechanical model yielding temporal developments of the total ice volume comparable to those of the vertically integrated model. Furthermore, we demonstrate that for the coupled climate/cryosphere system the total ice volume depends considerably on the enhancement factor.</t>
  </si>
  <si>
    <t>Tech Univ Darmstadt, Inst Mech 3, D-64289 Darmstadt, Germany; Univ Reading, Dept Meteorol, Reading RG6 6BB, Berks, England</t>
  </si>
  <si>
    <t>Technical University of Darmstadt; University of Reading</t>
  </si>
  <si>
    <t>Calov, R (corresponding author), Potsdam Inst Climate Impact Res, POB 60 12 03, D-14412 Potsdam, Germany.</t>
  </si>
  <si>
    <t>WOS:000079713100027</t>
  </si>
  <si>
    <t>Phillips, HA</t>
  </si>
  <si>
    <t>Surface meltstreams on the Amery Ice Shelf, East Antarctica</t>
  </si>
  <si>
    <t>A topographic map of a 120 km by 20 km section of the Amery Ice Shelf, East Antarctica, mapped with the global positioning system (GPS) in the spring of 1995, revealed two long, shallow troughs in the ice-shelf surface. Smooth features coinciding with these troughs appeared in a synthetic aperture radar image acquired 18 months earlier. ERS-1 altimeter waveform sequences and backscatter measurements along repeat satellite ground tracks across the same section of the Amery Ice Shelf, for the 1993-94 summer, exhibited a dramatic change over a 2 km sector between 30 January and 2 February 1994. The change is consistent with the presence of liquid water on the ice-shelf surface, located in the deeper of the two troughs. A time series of special sensor microwave/ imager brightness temperatures over the Lambert Glacier-Amery Ice Shelf region for the same period has sharp maxima on 5 January and 21 January 1994. These maxima are interpreted as the melting events leading to the meltstream observed in the altimeter data 25 days later.</t>
  </si>
  <si>
    <t>Univ Tasmania, Antarctic CRC &amp; IASOS, Hobart, Tas 7001, Australia</t>
  </si>
  <si>
    <t>WOS:000079713100028</t>
  </si>
  <si>
    <t>Hulbe, CL; Rignot, E; MacAyeal, DR</t>
  </si>
  <si>
    <t>Comparison of ice-shelf creep flow simulations with ice-front motion of Filchner-Ronne Ice Shelf, Antarctica, detected by SAR interferometry</t>
  </si>
  <si>
    <t>Comparison between numerical model ice-shelf flow simulations and synthetic aperture radar (SAR) interferograms is used to study ice-flow dynamics at the Hemmen Ice Rise (HIR) and Lassiter Coast (LC) corners of the iceberg-calving front of the Filchner-Ronne Ice Shelf. Antarctica. The interferograms are constructed from SAR images provided by the European Space Agency's remote-sensing satellites (ERS-1/2). Narrow bands of large shear strain rate are observed along the boundaries between fast-flowing ice-shelf ice and no-flow boundaries. Large rifts, opened where the ice shelf separates from the coast, appear to be filled with a melange of sea ice, ice-shelf fragments, and snell: Trial and error is used to find the best match between artificial interferograms, constructed from modelled ice flow and the observed interferograms. We find that at both HIR and LC, ice within the coastal boundary layers must be significantly softer than adjacent ice. At HIR the rift-filling ice melange transmits stress from one ice-shelf fragment to another; thus it must have mechanical competence and must moderate both separation of the ice shelf from the coast and the release of icebergs. However, the ice melange along the LC does not. The difference may be related to melange thickness, which could vary in the two locations due to differences in sub-ice-shelf oceanography or perhaps to regional atmospheric warming, currently under way along the Antarctic Peninsula. Future warming could weaken the melange ice around HIR as well, causing the ice shelf to lose contact with that shelf-front anchor.</t>
  </si>
  <si>
    <t>Univ Chicago, Dept Geophys Sci, Chicago, IL 60637 USA; CALTECH, Jet Prop Lab, Pasadena, CA 91109 USA</t>
  </si>
  <si>
    <t>University of Chicago; National Aeronautics &amp; Space Administration (NASA); NASA Jet Propulsion Laboratory (JPL); California Institute of Technology</t>
  </si>
  <si>
    <t>Hulbe, CL (corresponding author), Univ Chicago, Dept Geophys Sci, 5734 S Ellis Ave, Chicago, IL 60637 USA.</t>
  </si>
  <si>
    <t>Rignot, Eric/0000-0002-3366-0481; Hulbe, Christina/0000-0003-4765-7037; MacAyeal, Douglas/0000-0003-0647-6176</t>
  </si>
  <si>
    <t>WOS:000079713100029</t>
  </si>
  <si>
    <t>Lingle, CS; Troshina, EN</t>
  </si>
  <si>
    <t>Relative magnitudes of shear and longitudinal strain rates in the inland Antarctic ice sheet, and response to increasing accumulation</t>
  </si>
  <si>
    <t>STREAM-B; MODEL; BENEATH</t>
  </si>
  <si>
    <t>An approximation common to vertically integrated and three-dimensional models used to simulate growth and retreat of ice sheets in response to changes in climate and sea level is that the component of the mean column velocity attributable to longitudinal strain rates is small relative to the component attributable to shear strain rates parallel to the geoid, and can be neglected. We investigate the internal consistency of this shallow-ice approximation by using a three-dimensional model of the Antarctic ice sheet to calculate the ratio of the horizontal shear strain rates, averaged through the lowest 10% of the ice depth, to the horizontal longitudinal strain rates, averaged through the total ice depth. This ratio is plotted for the regions of the ice sheet characterized by inland ice-sheet flow': i.e. where the surface elevations are above 1500 m in East Antarctica, and above 950 m in West Antarctica. These areas are generally inland of the ice streams. The areas where this ratio exceeds 10, 50 and 100 are delineated for the cases of (i) no basal motion, and (ii) moderate basal motion. The results generally support the validity of the shallow-ice approximation throughout most areas of the inland Antarctic ice sheet, although it breaks down, as expected, near flow divides and mountain ranges. The model is also employed to simulate the response of the ice sheet to linearly increasing accumulation rates, such that the present accumulation is doubled after 100 years and then held constant, using the surface kinematic equation. The results suggest that the accumulation increase in East Antarctica during recent decades observed in widely spaced ice cores may be sufficient to account for a positive change in the time rate-of-change of the surface heights of up to 0.1 m a(-1) during this time period, throughout the areas north of 72 degrees S, if the accumulation increase has been widespread.</t>
  </si>
  <si>
    <t>WOS:000079713100030</t>
  </si>
  <si>
    <t>Wang, WL; Warner, RC</t>
  </si>
  <si>
    <t>Simulation of the influence of ice rheology on velocity profiles and ice-sheet mass balance</t>
  </si>
  <si>
    <t>FLOW-LAW; SOUTH GREENLAND; BORE-HOLE; ANTARCTICA</t>
  </si>
  <si>
    <t>Assessment of the effect of the Antarctic ice sheet on sea level requires an accurate determination of its current state of balance. This is usually done by comparing the ice net accumulation for an area with the net outward flow of the ice. To obtain the net outward flux to better than 20% accuracy the relationship between the column-integrated ice flux and measurements of ice-sheet thickness and surface velocity must be considered. That relationship is summarised by the ratio of depth-averaged velocity S' to surface velocity V-8. In areas where ice sliding can be neglected, this ratio strongly reflects the rheological properties of the ice and depends on the shear strain-rate profile through the ice column, which is influenced by profiles of stress, temperature and ice-crystal fabric. We present calculations of (V) over bar/V-s from a flowline model of a hypothetical large ice sheet to demonstrate how development of an anisotropic ice-crystal fabric can influence the depth profile of horizontal velocity. The temperature dependence of ice rheology, combined with typical ice-sheet temperature profiles, yields a more block-like velocity I,profile with (V) over bar/V-s increasing to values in the range 0.89-0.96 from the isothermal rheology value of 0.8. Our results show that the onset of enhanced shear flow with increasing shear strain, as a consequence of anisotropy, and then a reduction of enhancement nearer the bedrock, can modify the velocity profile, giving (V) over bar/V-8 values typically in the range 0.86-0.91. Smaller values than these may also occur for rougher bedrock or thinner ice.</t>
  </si>
  <si>
    <t>Warner, Robert R./M-5342-2013</t>
  </si>
  <si>
    <t>WOS:000079713100031</t>
  </si>
  <si>
    <t>Calov, R; Savvin, A; Greve, R; Hansen, I; Hutter, K</t>
  </si>
  <si>
    <t>Simulation of the Antarctic ice sheet with a three-dimensional polythermal ice-sheet model, in support of the EPICA project</t>
  </si>
  <si>
    <t>The three-dimensional polythermal ice-sheet model SICOPOLIS is applied to the entire Antarctic ice sheet in support of the European Project for Ice Goring in Antartica (EPICA). In this study, we focus on the deep ice core to be drilled in Dronning Maud Land (Atlantic sector of East Antarctica) as part of EPICA. It has not yet been decided where the exact drill-site will be situated. Our objective is to support EPICA during its planning phase as well as during the actual drilling process. We discuss a transient simulation with a climate forcing derived from the Vostok ice core and the SPECMAP sea-level record. This simulation shows the range of accumulation, basal temperature, age and shear deformation to be expected in the region of Dronning Maud Land. Based on these results, a possible coring position is proposed, and the distribution of temperature, age, horizontal velocity and shear deformation is shown for this column.</t>
  </si>
  <si>
    <t>Tech Univ Darmstadt, Inst Mech 3, D-64289 Darmstadt, Germany; Univ Bremen, Fachbereich Geowissensch 5, D-28334 Bremen, Germany</t>
  </si>
  <si>
    <t>Technical University of Darmstadt; University of Bremen</t>
  </si>
  <si>
    <t>Tech Univ Darmstadt, Inst Mech 3, Hsch Str 1, D-64289 Darmstadt, Germany.</t>
  </si>
  <si>
    <t>Greve, Ralf/G-2336-2010</t>
  </si>
  <si>
    <t>Greve, Ralf/0000-0002-1341-4777</t>
  </si>
  <si>
    <t>WOS:000079713100032</t>
  </si>
  <si>
    <t>Nereson, NA; Hindmarsh, RCA; Raymond, CF</t>
  </si>
  <si>
    <t>Sensitivity of the divide position at Siple Dome, West Antarctica, to boundary forcing</t>
  </si>
  <si>
    <t>ICE-SHEET; NORMAL-MODES; GREENLAND</t>
  </si>
  <si>
    <t>A linearized perturbation about a two-dimensional Vialov-Nye ice-sheet profile is used to investigate the sensitivity of the divide position at Siple Dome, West Antarctica, to small changes in the accumulation pattern and in the elevation of its lateral boundaries at the margins of Ice Streams C and D. Relaxation time-scales for the ice-sheet surface and divide position are derived from the perturbation theory. For Siple Dome, these time-scales are short: 450-800 years for surface adjustment, and 200-350 years for divide position adjustment. These short time-scales indicate that Siple Dome responds quickly to forcing at its boundaries. Therefore, the recent migration of the Siple Dome divide (determined from previous work) is probably a response to an ongoing, sustained forcing rather than a response to a long-past climate event such as the transition from the Last Glacial Maximum to the Holocene. Based on our analysis, the inferred rate of migration of the Siple Dome divide could be attained by: (1) a Steady increase in the south-north spatial accumulation gradient of 0.1-1.5 x 10(-9) a(-2) or (2) a steady increase (decrease) in elevation of the Siple Dome lateral boundary adjacent to a relict margin of Ice Stream D (Ice Stream C) of 0.005-0.040 m a(-1) over the past several thousand years. The required forcing is quite small, and suggests that major changes in the configuration of Ice Streams C and D associated with major changes in the elevation at boundaries of Siple Dome have not occurred over the past several thousand years.</t>
  </si>
  <si>
    <t>Univ Washington, Geophys Program, Seattle, WA 98195 USA; British Antarctic Survey, NERC, Cambridge CB3 0ET, England</t>
  </si>
  <si>
    <t>University of Washington; University of Washington Seattle; UK Research &amp; Innovation (UKRI); Natural Environment Research Council (NERC); NERC British Antarctic Survey</t>
  </si>
  <si>
    <t>Nereson, NA (corresponding author), Univ Washington, Geophys Program, Box 351650, Seattle, WA 98195 USA.</t>
  </si>
  <si>
    <t>Hindmarsh, Richard/C-1405-2012</t>
  </si>
  <si>
    <t>Hindmarsh, Richard/0000-0003-1633-2416</t>
  </si>
  <si>
    <t>WOS:000079713100033</t>
  </si>
  <si>
    <t>Maggi, V; Orombelli, G; Stenni, B; Flora, O; Udisti, R; Becagli, S; Traversi, R; Vermigli, S; Petit, JR</t>
  </si>
  <si>
    <t>70 years of northern Victoria Land (Antarctica) accumulation rate</t>
  </si>
  <si>
    <t>SNOW-ACCUMULATION; HYDROGEN-PEROXIDE; ICE CORES; RECORDS; FALLOUT</t>
  </si>
  <si>
    <t>Measurements of oxygen isotope ratio (delta(18)O), major anions and cations, insoluble dust and tritium were performed every 4-6 cm along the Hercules Neve (northern Victoria Land, Antarctica) 22 m firn core. Concentration/depth profiles for H2O2, methane sulphonic acid and non-sea-salt sulphate (nssSO(4)(2-)) were used to obtain a dating for the core by a multiparametric method involving a normalisation procedure and a linear combination of original profiles. This dating was compared With the delta(18)O and dust records to obtain a reliable identification of successive annual snow layers. The time-scale obtained from the seasonally varying signals was confirmed by an absolute date obtained from the 1965 thermonuclear atmospheric bomb test tritium peak. Around 70 years (1926-94) of annual accumulation rate data were obtained from the core. delta(18)O variations recorded along the core may be ascribed to seasonal variations of this parameter related to temperature variations.</t>
  </si>
  <si>
    <t>Dipartimento Sci Ambiente &amp; Terr, I-20126 Milan, Italy; Dipartimento Sci Geol Ambientali &amp; Marine, I-34127 Trieste, Italy; Dipartimento Sanita Pubbl Epidemiol &amp; Chim Anal A, I-50121 Florence, Italy; CNRS, Lab Glaciol &amp; Geophys Environm, F-38402 St Martin Dheres, France</t>
  </si>
  <si>
    <t>Centre National de la Recherche Scientifique (CNRS)</t>
  </si>
  <si>
    <t>Dipartimento Sci Ambiente &amp; Terr, Via Emanueli 15, I-20126 Milan, Italy.</t>
  </si>
  <si>
    <t>Becagli, Silvia/GNW-2665-2022; Udisti, Roberto/M-7966-2015; Maggi, Valter/AAX-5728-2020; Maggi, Valter/E-1878-2014; Traversi, Rita/M-7586-2015</t>
  </si>
  <si>
    <t>Udisti, Roberto/0000-0003-4440-8238; Maggi, Valter/0000-0001-6287-1213; Stenni, Barbara/0000-0003-4950-3664; Becagli, Silvia/0000-0003-3633-4849; Traversi, Rita/0000-0002-9790-2195</t>
  </si>
  <si>
    <t>WOS:000079713100034</t>
  </si>
  <si>
    <t>Bromwich, DH; Cullather, RI; Van Woert, ML</t>
  </si>
  <si>
    <t>Antarctic precipitation and its contribution to the global sea-level budget</t>
  </si>
  <si>
    <t>OPERATIONAL NUMERICAL-ANALYSES; MASS-BALANCE; ICE SHEETS; GREENLAND; CLIMATE; REANALYSIS; LATITUDES</t>
  </si>
  <si>
    <t>Antarctic precipitation estimations derived from several new sources ale examined in comparison to results found previously The availability of analyzed atmospheric datasets has been a significant and beneficial tool for atmospheric and climate research for a broad range of research interests. This is particularly true for the polar regions, where the observational arrays are sparsely distributed. In high southern latitudes, a comprehensive assimilation of all available observations, including satellite data, is necessary for an accurate depiction of the atmospheric circulation. Recent studies have found the operational analyses of the European Centre for Medium-range Weather Forecasts to be superior to those of other weather-forecasting centers in depicting the large-scale atmospheric circulation patterns over Antarctica. Re-analysis programs at major weather-forecasting centers have produced atmospheric numerical analyses using a frozen data-assimilation system. These projects have also derived precipitation and evaporation fields using an ensemble of short-term forecasts. From these new sources, Antarctic P - E (precipitation minus evaporation/sublimation) is compared and evaluated against the long-term glaciological synthesis, as well as results fi om previous studies. The comparisons indicate significant regional disagreements exist between P - E from the re-analysis forecasts and the glaciological data. For the ensemble forecasting method, the continental-average evaporation is the largest area of uncertainty and differs by art order of magnitude between the re-analysis datasets. This finding supports the use of the atmospheric moisture budget fur determining P - E collectively in atmospheric diagnostic studies for Antarctica.</t>
  </si>
  <si>
    <t>Ohio State Univ, Byrd Polar Res Ctr, Polar Meteorol Grp, Columbus, OH 43210 USA; Ohio State Univ, Atmospher Sci Program, Columbus, OH 43210 USA; NOAA, Natl Environm Satellite Data &amp; Informat Serv, Off Res &amp; Applicat, Washington, DC 20233 USA</t>
  </si>
  <si>
    <t>University System of Ohio; Ohio State University; University System of Ohio; Ohio State University; National Oceanic Atmospheric Admin (NOAA) - USA</t>
  </si>
  <si>
    <t>Bromwich, DH (corresponding author), Ohio State Univ, Byrd Polar Res Ctr, Polar Meteorol Grp, Columbus, OH 43210 USA.</t>
  </si>
  <si>
    <t>WOS:000079713100035</t>
  </si>
  <si>
    <t>Venteris, ER; Whillans, IM</t>
  </si>
  <si>
    <t>Variability of accumulation rate in the catchments of Ice Streams B, C, D and E, Antarctica</t>
  </si>
  <si>
    <t>SNOW ACCUMULATION; THICKNESS; GPS</t>
  </si>
  <si>
    <t>A model of error and variability in snow accumulation rate is formulated to determine the reliability of accumulation-rate point measurements as regional and temporal means. The uncertainty model is applied to data from 70 shallow firn cores covering the Ross Sea drainage of the West Antarctic ice sheet. The model includes measurement error, local spatial variation and time variation. Average uncertainty in accumulation rate is 0.016 m a(-1) ice equivalent or about 15%. Considering that measurement and depositional uncertainties are independent from core-to-core, an uncertainty of 0.01 m a(-1) applies when many values are used to integrate accumulation rate over a catchment.</t>
  </si>
  <si>
    <t>Ohio State Univ, Bryd Polar Res Ctr, Columbus, OH 43210 USA; Ohio State Univ, Dept Geol Sci, Columbus, OH 43210 USA</t>
  </si>
  <si>
    <t>Venteris, ER (corresponding author), Ohio State Univ, Bryd Polar Res Ctr, Columbus, OH 43210 USA.</t>
  </si>
  <si>
    <t>Venteris, Erik/0000-0001-9863-6098</t>
  </si>
  <si>
    <t>WOS:000079713100036</t>
  </si>
  <si>
    <t>Melvold, K; Hagen, JO; Pinglot, JF; Gundestrup, N</t>
  </si>
  <si>
    <t>Large spatial variation in accumulation rate in Jutulstraumen ice stream, Dronning Maud Land, Antarctica</t>
  </si>
  <si>
    <t>SURFACE MASS-BALANCE; SNOW ACCUMULATION; OXYGEN-ISOTOPE; TEMPERATURE; WINDS</t>
  </si>
  <si>
    <t>A mass-balance programme was initiated on Jutulstraumen ice stream, western Dronning Maud Land,Antarctica, during the austral summer 1992-93. As a part of the mass-balance programme, accumulation rate was measured along the centre line of Jutulstraumen from the shelf edge up to the plateau at about 2500 m a.s.l. Accumulation distribution obtained from seven shallow firn cores and 48 stake readings is presented. The overall net accumulation trend displays a decreasing accumulation with increasing elevation and distance to coast, but on both the mesoscale and microscale there are significant variations. This is due to complex patterns of precipitation controlled by orography and redistribution by katabatic winds. The local accumulation distribution (few km scale) was found to be dependent on downslope surface gradient (aspect north, northwest), and variations up to 100% were found over distances of less than 3 km. The large variation in accumulation is important when selecting new core sites and for interpretation of temporal and spatial variations in accumulation derived from firn cores.</t>
  </si>
  <si>
    <t>Univ Oslo, Dept Phys Geog, N-0316 Oslo, Norway; Univ Grenoble 1, CNRS, Lab Glaciol &amp; Geophys Environm, F-38402 St Martin Dheres, France; Univ Copenhagen, Dept Geophys, DK-2100 Copenhagen, Denmark</t>
  </si>
  <si>
    <t>University of Oslo; Centre National de la Recherche Scientifique (CNRS); Communaute Universite Grenoble Alpes; Universite Grenoble Alpes (UGA); University of Copenhagen</t>
  </si>
  <si>
    <t>Melvold, K (corresponding author), Univ Oslo, Dept Phys Geog, Box 1042, N-0316 Oslo, Norway.</t>
  </si>
  <si>
    <t>WOS:000079713100037</t>
  </si>
  <si>
    <t>Craven, M; Allison, I</t>
  </si>
  <si>
    <t>Firnification and the effects of wind-packing on Antarctic snow</t>
  </si>
  <si>
    <t>FIRN; ICE</t>
  </si>
  <si>
    <t>Using firn-core data from ten widely spread Antarctic sites, the dependence of firnification on temperature, wind and accumulation rate has been examined with two empirical models. One model relates the square of the porosity to the logarithm of the overburden pressure, and yields good fit to data through the first stage of firnification up to around 0.70-0.75 Mg m(-3), beyond which it severely overestimates density All three meteorological factors enter into this model, with higher temperatures and stronger winds increasing firnification rates, whilst higher accumulation rates have the opposite effect at any given depth. A temperature increase of 10 degrees C has the equivalent effect to a wind-speed increase of 5 m s(-1), or an accumulation rate decrease of 0.10 m a(-1) we. A second model equates the logarithm of the porosity to overburden pressure and gives a much better fit to field data at higher densities where values asymptote to the bubble-free density of pure ice. This model generally yields a poor match to field data in the upper layers, with surface densities generally overestimated. Annual mean wind speed appears to be the least important of the local variables in this case, consistent with the success of the model at greater depth in matching data profiles.</t>
  </si>
  <si>
    <t>Antarctic CRC, Hobart, Tas 7001, Australia; Australian Antarctic Div, Hobart, Tas 7001, Australia</t>
  </si>
  <si>
    <t>Craven, M (corresponding author), Antarctic CRC, Box 252-80, Hobart, Tas 7001, Australia.</t>
  </si>
  <si>
    <t>Allison, Ian F/I-4477-2015</t>
  </si>
  <si>
    <t>Allison, Ian F/0000-0001-9599-0251</t>
  </si>
  <si>
    <t>WOS:000079713100038</t>
  </si>
  <si>
    <t>Smith, IN; Budd, WF; Reid, P</t>
  </si>
  <si>
    <t>Model estimates of Antarctic accumulation rates and their relationship to temperature changes</t>
  </si>
  <si>
    <t>MASS-BALANCE; ICE-SHEET; INCREASES</t>
  </si>
  <si>
    <t>The results from long-term simulations with a climate model using historical sea surface temperatures (SSTs) are used to study Antarctic accumulation rates and their relationship, or sensitivity, to temperature changes. The model used has a horizontal resolution of approximately 2 degrees by 2 degrees. The SST data comprise reconstructed monthly values on a global grid for the period 1950-91. The results yield an estimate for the area-averaged value accumulation rate over grounded ice of 160-180 mm we. a(-1). The spatial pattern of the simulated trends over the period of integration indicates that the results for much of East Antarctica are consistent with evidence deduced from ice cores. The ice-sheet surface is estimated to have warmed by +0.73 degrees C (a rate of +0.18 degrees C per decade), while the accumulation rate is estimated to have increased by +7.7 mm a(-1) (a rate of +1.9 mm a(-1) per decade). The estimate for sensitivity is +12.5 mm a(-1) pu degree of. warming, which can be interpreted as about -0.4 mm of sea level pet year.</t>
  </si>
  <si>
    <t>CSIRO, Div Atmospher Res, Aspendale, Vic 3195, Australia; Antarct CRC, Hobart, Tas 7001, Australia</t>
  </si>
  <si>
    <t>Commonwealth Scientific &amp; Industrial Research Organisation (CSIRO)</t>
  </si>
  <si>
    <t>Smith, IN (corresponding author), CSIRO, Div Atmospher Res, PMB 1, Aspendale, Vic 3195, Australia.</t>
  </si>
  <si>
    <t>WOS:000079713100039</t>
  </si>
  <si>
    <t>Bintanja, R</t>
  </si>
  <si>
    <t>The contribution of snowdrift sublimation to the surface mass balance of Antarctica</t>
  </si>
  <si>
    <t>ENERGY BALANCE; BLOWING SNOW; ADELIE-LAND; BLUE ICE; CLIMATE</t>
  </si>
  <si>
    <t>This paper presents model calculations of snowdrift sublimation rates for year-round automatic weather station (AWS) data in Terre Adelie, Antarctica. The model calculates vertical profiles of wind speed, temperature, humidity and suspended-snow particles in the atmospheric surface layer, and takes into account the buoyancy effects induced by the stably stratified suspended-snow profile by means of an appropriate Richardson number. The model is able to simulate accurately vertical profiles of sublimation rate derived from direct measurements. The model is used to parameterise snowdrift-sublimation rates in terms of wind speed and air temperature. This parameterisation is then used to calculate snowdrift-sublimation rates from 3 hourly data of six AWSs along a transect from Dumont d'Urville to South Pole during one year. Results show that sublimation of suspended snow is negligible in the interior of Antarctica where wind speeds and temperatures are low whereas near the windy and relatively warm coast its contribution is significant (up to 17 cm w.e. a(-1)). Snowdrift-sublimation rates are highest during summer, when temperatures are highest, in spite of the fact that wind speeds are not as high as in winter. It is concluded that snowdrift sublimation is one of the major terms in the surface mass balance of Antarctica, in particular in the coastal regions.</t>
  </si>
  <si>
    <t>Univ Utrecht, Inst Marine &amp; Atmospher Res, NL-3508 TA Utrecht, Netherlands</t>
  </si>
  <si>
    <t>Univ Utrecht, Inst Marine &amp; Atmospher Res, POB 80005, NL-3508 TA Utrecht, Netherlands.</t>
  </si>
  <si>
    <t>Bintanja, Richard/0000-0002-0465-5923</t>
  </si>
  <si>
    <t>WOS:000079713100040</t>
  </si>
  <si>
    <t>Canals, M; Estrada, F; Urgeles, R</t>
  </si>
  <si>
    <t>GEBRAP 96-97 Team</t>
  </si>
  <si>
    <t>Very high-resolution seismic definition of glacial and postglacial sediment bodies in the continental shelves of the northern Trinity Peninsula region, Antarctica</t>
  </si>
  <si>
    <t>SEQUENCES; MARGIN</t>
  </si>
  <si>
    <t>The sea-floor morphological features and sedimentary cover on the shelves of the northern Trinity Peninsula, Antarctica, result fi om glaciomarine processes. Roughness of the sea floor is apparent at scales from kilometre-wide glacial troughs to metre-wide iceberg scours. The sedimentary cover is unequally distributed, with a preference fbr sheltered areas and sea-floor depressions where deposition obeys local controlling factors. An uppermost draping layer caused by settling of fine particles was observed in several of the studied settings. Large parts of the shelves are devoid of sediments, and there the sea floor shows widespread, mostly relict evidence of glacial erosion. The observed sea-floor morphologies and sedimentary cover highlight the return to grade of the shelves from the northern Trinity Peninsula region.</t>
  </si>
  <si>
    <t>Univ Barcelona, Dept Estratigrafia &amp; Paleontol, E-08071 Barcelona, Spain; Inst Ciencias Mar, Dept Geol Marina &amp; Oceanog Fis, E-08039 Barcelona, Spain</t>
  </si>
  <si>
    <t>University of Barcelona; Consejo Superior de Investigaciones Cientificas (CSIC); CSIC - Centro Mediterraneo de Investigaciones Marinas y Ambientales (CMIMA); CSIC - Instituto de Ciencias del Mar (ICM)</t>
  </si>
  <si>
    <t>Canals, M (corresponding author), Univ Barcelona, Dept Estratigrafia &amp; Paleontol, E-08071 Barcelona, Spain.</t>
  </si>
  <si>
    <t>Calafat, Antoni/J-5848-2017; Estrada, Ferran/G-8255-2015; Cacho, Isabel/AAX-2610-2021; Urgeles, Roger/A-9231-2010; Canals, Miquel/F-4922-2013; Casamor, Jose Luis/J-5719-2017</t>
  </si>
  <si>
    <t>Calafat, Antoni/0000-0001-7927-3105; Cacho, Isabel/0000-0002-6512-0770; Urgeles, Roger/0000-0001-9438-1753; Estrada, Ferran/0000-0001-5536-0183; Canals, Miquel/0000-0001-5267-7601; Sorribas Cervantes, Jordi/0000-0003-2395-546X; Casamor, Jose Luis/0000-0001-9445-6997; Fabres, Joan/0000-0002-6523-8939; Ramil, Fran/0000-0002-9146-8201</t>
  </si>
  <si>
    <t>WOS:000079713100041</t>
  </si>
  <si>
    <t>Canals, M; Urgeles, R; Estrada, F</t>
  </si>
  <si>
    <t>Internal structure and seismic facies of the deep-water sediment drifts off northern Graham Land, Antarctic Peninsula: results from a very high-resolution survey</t>
  </si>
  <si>
    <t>PACIFIC MARGIN</t>
  </si>
  <si>
    <t>High-resolution Bottom Parametric Source profiles have revealed details of the sedimentary structure of the upper 150 ms of the sediment drifts off the Pacific margin of Graham Land, Antarctic Peninsula. These profiles show that the dominant process is hemipelagic sedimentation, although instability processes are also important, as shown by the widespread presence of transparent, chaotic and semi-transparent acoustic facies. These new data are relevant to the evaluation of the palaeoenvironmental potential of the sediment drifts and show that the amount of remobilised sediment is significant in some of the drifts.</t>
  </si>
  <si>
    <t>Cacho, Isabel/AAX-2610-2021; Urgeles, Roger/A-9231-2010; Calafat, Antoni/J-5848-2017; Estrada, Ferran/G-8255-2015; Canals, Miquel/F-4922-2013; Casamor, Jose Luis/J-5719-2017</t>
  </si>
  <si>
    <t>Cacho, Isabel/0000-0002-6512-0770; Urgeles, Roger/0000-0001-9438-1753; Calafat, Antoni/0000-0001-7927-3105; Canals, Miquel/0000-0001-5267-7601; Sorribas Cervantes, Jordi/0000-0003-2395-546X; Ramil, Fran/0000-0002-9146-8201; Fabres, Joan/0000-0002-6523-8939; Casamor, Jose Luis/0000-0001-9445-6997; Estrada, Ferran/0000-0001-5536-0183</t>
  </si>
  <si>
    <t>WOS:000079713100042</t>
  </si>
  <si>
    <t>Sedwick, PN; Harris, PT; Robertson, LG; McMurtry, GM; Cremer, MD; Robinson, P</t>
  </si>
  <si>
    <t>A geochemical study of marine sediments from the Mac. Robertson shelf, East Antarctica: initial results and palaeoenvironmental implications</t>
  </si>
  <si>
    <t>SOUTHERN-OCEAN; WEDDELL-SEA; PRODUCTIVITY; RECORD; REGION</t>
  </si>
  <si>
    <t>Sediments from the Antarctic continental margin may provide detailed palaeoenvironmental records for Antarctic shelf waters during the late Quaternary. Here we present results from a palaeoenvironmental study of two sediment cores recovered from the continental shelf off Mac. Robertson Land, East Antarctica. These gravity cores were collected approximately 90 km apart from locations on the inner and outer shelf. Both cores are apparently undisturbed sequences of diatom ooze mixed with fine, quartz-rich sand. Core stratigraphies have been established from radiocarbon analyses of bulk organic carbon. Down-core geochemical determinations include the lithogenic components Al and Fs, biogenic components opal and organic carbon, and palaeo-redox proxies Mn, Mo and U. We use the geochemical data to infer past variations in the deposition of biogenic and lithogenic materials, and the radiocarbon dates to estimate average sediment accumulation rates. The Holocene record of the outer-shelf core suggests three episodes of enhanced diatom export production at about 1.8, 3.8 and 5.5 ka sr, as well as less pronounced bloom episodes which occurred over a shorter period. Average sediment accumulation rates at this location range from 13.7 cm ka(-1) in the late Pleistocene-Early Holocene to 82 cm ka(-1) in the late Holocene, and suggest that the inferred episodes of enhanced biogenic production lasted 100-1000 years. In contrast, data for the inner-shelf core suggest that there has been a roughly constant proportion of biogenic and lithogenic material accumulating during the middle to late Holocene, with a greater proportion of biogenic material relative to the outer shelf: Notably there is an approximately 7-fold increase in average sediment accumulation rate (from 24.5 to 179 cm ka(-1)) at this inner-shelf location between the middle and late Holocene, with roughly comparable increases in the mass accumulation rates of both biogenic and lithogenic material. This may represent changes ill sediment transport processes, or reflect real increases in pelagic sedimentation in this region during the Holocene. Our results suggest quite different sedimentation regimes in these two shelf locations during the middle to late Holocene.</t>
  </si>
  <si>
    <t>Antarctic CRC, Hobart, Tas 7001, Australia; Australian Geol Survey Org, Hobart, Tas 7001, Australia; Univ Hawaii, Dept Oceanog, Honolulu, HI 96822 USA; Univ Tasmania, Dept Geol, Hobart, Tas 7001, Australia</t>
  </si>
  <si>
    <t>Geoscience Australia; University of Hawaii System; University of Tasmania</t>
  </si>
  <si>
    <t>Sedwick, PN (corresponding author), Antarctic CRC, Box 252-80, Hobart, Tas 7001, Australia.</t>
  </si>
  <si>
    <t>Harris, Peter T/C-6997-2009; Harris, Peter/AAI-7100-2020</t>
  </si>
  <si>
    <t>Sedwick, Peter/0000-0003-0663-8323</t>
  </si>
  <si>
    <t>WOS:000079713100043</t>
  </si>
  <si>
    <t>Nishimura, A; Nakasone, T; Hiramatsu, C; Tanahashi, M</t>
  </si>
  <si>
    <t>Late Quaternary paleoenvironment of the Ross Sea continental shelf, Antarctica</t>
  </si>
  <si>
    <t>LATE WISCONSIN</t>
  </si>
  <si>
    <t>Based on sedimentological and micropaleontological work on three sediment cores collected at about 167 degrees E in the western Ross Sea, Antarctica, and accelerator mass spectrometer C-14 ages of organic carbon, we have reconstructed environmental changes in the area during the late Quaternary. Since 38 ka sp at latest, this area was a marine environment with low productivity. A grounded ice sheet advanced and loaded the sediments before about 30-25 ka sp. After 25 ka sp, the southernmost site (76 degrees 46' S) was covered by floating ice (shelf ice), preventing deposition of coarse terrigenous materials and maintaining a supply of diatom tests and organic carbon until 20 ka sp. The northernmost site (74 degrees 33' S) was in a marine environment with a moderate productivity influenced by shelf ice/ice sheet after about 20 ka sp. Since about 10 ka sp, a sedimentary environment similar to the present-day one has prevailed over this area.</t>
  </si>
  <si>
    <t>Geol Survey Japan, Marine Geol Dept, Tsukuba, Ibaraki 305, Japan; Kawasaki Chishitsu Co Ltd, Ota Ku, Tokyo 143, Japan; Geol Survey Japan, Marine Geol Dept, Mihama Ku, Tsukuba, Ibaraki 305, Japan; Japan Natl Oil Corp, Technol Res Ctr, Chiyoda Ku, Tokyo 100, Japan</t>
  </si>
  <si>
    <t>Nishimura, A (corresponding author), Geol Survey Japan, Marine Geol Dept, 1-3 Higashi 1 Chome, Tsukuba, Ibaraki 305, Japan.</t>
  </si>
  <si>
    <t>WOS:000079713100044</t>
  </si>
  <si>
    <t>Domack, EW; Harris, PT</t>
  </si>
  <si>
    <t>A new depositional model for ice shelves, based upon sediment cores from the Ross Sea and the Mac. Robertson shelf, Antarctica</t>
  </si>
  <si>
    <t>PENINSULA; ADVANCE; SHEET</t>
  </si>
  <si>
    <t>We document the similarity of depositional facies occurring in gravity cores recovered from two disjunct regions of the Antarctic continental shelf: the Ross Sea and the Mac. Robertson shelf. The facies sequence model is represented in two cores, one collected during the 1995-I cruise of the R/V Nathaniel B. Palmer (core NBP95 TC-18) and the other collected by the RSV Aurora Australis during cruise 149 in 1995 (core 149 39GC38). Both cores show a succession of facies indicative of ice-shelf retreat during the late-Pleistocene to Holocene transition. Distinct lithofacies range in thickness from a few tens of cm to 1 m and consist of (from bottom to top) a coarse, granulated sandy mud; laminated silt and clay; structureless silty clay; poorly sorted sandy siliceous mud; and siliceous mud and ooze. These facies represent the passage of distinct depositional regimes across the core sites, including sub-ice shelf beneath a basal debris zone; sub-ice shelf distal to a debris zone; calving-line transition; and open marine. This facies model represents an advance in our understanding of glacial marine stratigraphy for the Antarctic continental shelf and will provide the basis for more realistic palaeoglacial reconstructions.</t>
  </si>
  <si>
    <t>Hamilton Coll, Dept Geol, Clinton, NY 13323 USA; Antarctic CRC, Hobart, Tas 7001, Australia; Australian Geol Survey Org, Hobart, Tas 7001, Australia</t>
  </si>
  <si>
    <t>Hamilton College; Geoscience Australia</t>
  </si>
  <si>
    <t>Domack, EW (corresponding author), Hamilton Coll, Dept Geol, Clinton, NY 13323 USA.</t>
  </si>
  <si>
    <t>Harris, Peter/AAI-7100-2020; Harris, Peter T/C-6997-2009</t>
  </si>
  <si>
    <t>WOS:000079713100045</t>
  </si>
  <si>
    <t>Moreton, SG; Smellie, JL</t>
  </si>
  <si>
    <t>Identification and correlation of distal tephra layers in deep-sea sediment cores, Scotia Sea, Antarctica</t>
  </si>
  <si>
    <t>BRANSFIELD STRAIT</t>
  </si>
  <si>
    <t>Quaternary deposits in six sediment cores from the Scotia Sea, Antarctica, were examined for the presence of volcanic ash layers. The cores were recovered from water depths of 3369-4025 m. Altogether, 23 ash layers were found, 18 of which have been investigated by electron-probe microanalysis. Deception Island is identified as the source of all the ash layers analyzed. The upper ash layer in each core can be correlated across all six cores, over a distance of 400 km, on the basis of its unusual bimodal composition, major oxide geochemistry and stratigraphic position. Two Other ash layers can also be correlated between several of the cores.</t>
  </si>
  <si>
    <t>British Antarctic Survey, NERC, Cambridge CB3 0ET, England; Cheltenham &amp; Gloucester Coll Higher Educ, Ctr Environm Change &amp; Quaternary Res, Cheltenham GL50 4AZ, Glos, England</t>
  </si>
  <si>
    <t>UK Research &amp; Innovation (UKRI); Natural Environment Research Council (NERC); NERC British Antarctic Survey; University of Gloucestershire</t>
  </si>
  <si>
    <t>Moreton, SG (corresponding author), British Antarctic Survey, NERC, High Cross,Madingley Rd, Cambridge CB3 0ET, England.</t>
  </si>
  <si>
    <t>Moreton, Steven G/C-2373-2009</t>
  </si>
  <si>
    <t>Moreton, Steven G/0000-0002-8030-2433</t>
  </si>
  <si>
    <t>WOS:000079713100046</t>
  </si>
  <si>
    <t>Passchier, S; Verbers, ALLM; van der Wateren, FM; Vermeulen, FJM</t>
  </si>
  <si>
    <t>Provenance, geochemistry and grain-sizes of glacigene sediments, including the sirius group, and Late Cenozoic glacial history of the southern Prince Albert Mountains, Victoria Land, Antarctica</t>
  </si>
  <si>
    <t>KIRKPATRICK-BASALT; RANGE</t>
  </si>
  <si>
    <t>The southern Prince Albert Mountains, between David and Mawson Glaciers (75 degrees 30' to 76 degrees S) in Victoria Land. Antarctica, comprise a series of nunataks with elevations ranging from 800 m near the coast to 2300 m similar to 130 km inland. Geochemical and grain-size analyses of tills from these nunataks reveal three major groups of deposits: (1) coarse to medium sandy tills, found on glacially streamlined summit plateaus of Kirkpatrick Basalt above 2000 m a.s.l., with geochemical compositions very similar to those of the underlying Jurassic Kirkpatrick Basalt; (2) bimodal silty and sandy tills of the Sirius Group with Ferrar/Beacon-dominated geochemical compositions, at elevations of 1300-1600 m a.s.l. on striated summit plateaus and high-elevation terraces; (3) fine-grained tills with high SiO2 contents from ice-cored moraines at the lee sides of large nunataks. The geochemical composition of sandy tills from the highest summit plateaus suggests that valleys had not vet cut through the Kirkpatrick Basalt and into Beacon and Ferrar rocks at the time of deposition These tills represent a phase of temperate glaciation prior to deposition of diatom-bearing Sirius Group tills. The latter were deposited after a first Phase of landscape dissection as inferred from geochemical data. The fine-grained ice-cored moraines are late-Pleistocene basal tills. The presence of pre-Pliocene glacial deposits on high mountain summits in the Prince Albert Mountains has implications for the interpretation of high-elevation Sirius Group sediments in other areas of the Transantarctic Mountains. It is possible that the Sirius debate has its origin in interpretations of both thin, barren pre-Pliocene deposits on high mountain summits and thick sequences of diatom-bearing deposits in valleys elsewhere in the Transantarctic Mountains. Both types of deposits are associated with the Sirius Group, but they belong to separate glacial episodes.</t>
  </si>
  <si>
    <t>Ohio State Univ, Dept Geol Sci, Columbus, OH 43210 USA; Univ Utrecht, Phys Geog Dept, NL-3584 CS Utrecht, Netherlands; Free Univ Amsterdam, Dept Earth Sci, NL-1081 HV Amsterdam, Netherlands; TNO, Natl Geol Survey, Netherlands Inst Appl Geosci, Sect Geochem Mapping, NL-2000 AD Haarlem, Netherlands</t>
  </si>
  <si>
    <t>University System of Ohio; Ohio State University; Utrecht University; Vrije Universiteit Amsterdam; Netherlands Organization Applied Science Research</t>
  </si>
  <si>
    <t>Passchier, S (corresponding author), Ohio State Univ, Dept Geol Sci, 130 Orton Hall,155 S Oval Mall, Columbus, OH 43210 USA.</t>
  </si>
  <si>
    <t>Passchier, Sandra/B-1993-2008; Passchier, Sandra/GYU-2381-2022; Passchier, Sandra/AAQ-2243-2021</t>
  </si>
  <si>
    <t>Passchier, Sandra/0000-0001-7204-7025; Passchier, Sandra/0000-0001-7204-7025; van der Wateren, Dick/0000-0001-8749-4442</t>
  </si>
  <si>
    <t>WOS:000079713100047</t>
  </si>
  <si>
    <t>Miura, H; Moriwaki, K; Maemoku, H; Hirakawa, K</t>
  </si>
  <si>
    <t>Fluctuations of the East Antarctic ice-sheet margin since the last glaciation from the stratigraphy of raised beach deposits along the Soya Coast</t>
  </si>
  <si>
    <t>BUDD COAST; DEGLACIATION; HILLS</t>
  </si>
  <si>
    <t>The fluctuation of the East Antarctic ice-sheet (EAIS) margin and relative sea-level change since the last glaciation are discussed from the stratigraphy and TAMS C-14 ages of raised beach deposits in the northern part of the Soya Coast. The beach deposits reveal two marine sediment layers with in situ fossil shells of Laternula elliptica, and an interbedded fluvial sediment layer. The C-14 ages of fossils in the lower, older marine beds ranged from 36 to 43 ka, and in the upper, younger beds from 4.9 to 5.2 ka without reservoir correction. Neither marine layers nor in situ fossil shells were disturbed by ice-sheet loading or scouring. The interbedded fluvial sediments appear to have been deposited by a stronger fluvial process than present meltwater activity in the area. These facts lead us to the following conclusions: (1) marine transgression occurred during the last interstadial around 40 ka or the Last Interglacial, and in the Holocene around 5 ka; (2) the EAIS possibly retreated from the northern Soya Coast prior to the Last Glacial Maximum (LGM); (3) the fluvial process may have occurred during a period of low sea level which may have been a warmer period than the present, probably during the late-glacial to postglacial age; and (4) the EAIS did not readvance over these sediments during or since the LGM.</t>
  </si>
  <si>
    <t>Natl Inst Polar Res, Itabashi Ku, Tokyo 1738515, Japan; Yamaguchi Univ, Yamaguchi 7530841, Japan; Hokkaido Univ, Kita Ku, Sapporo, Hokkaido 0600810, Japan</t>
  </si>
  <si>
    <t>Research Organization of Information &amp; Systems (ROIS); National Institute of Polar Research (NIPR) - Japan; Yamaguchi University; Hokkaido University</t>
  </si>
  <si>
    <t>Miura, H (corresponding author), Natl Inst Polar Res, Itabashi Ku, 9-10 Kaga 1 Chome, Tokyo 1738515, Japan.</t>
  </si>
  <si>
    <t>WOS:000079713100048</t>
  </si>
  <si>
    <t>Burckle, LH; Mortlock, R</t>
  </si>
  <si>
    <t>Sea-ice extent in the Southern Ocean during the Last Glacial Maximum: another approach to the problem</t>
  </si>
  <si>
    <t>PHYTOPLANKTON</t>
  </si>
  <si>
    <t>Determining past sea-ice distribution is an important goal of paleoceanographers. Here, we present a possible approach to deter-mining past sea-ice distribution in the Southern Ocean during the Last Glacial Maximum (LGM). Diatoms are the principal opal-forming organisms south of the Antarctic Polar Front; their productivity is partly mediated by the presence/absence of sea ice. We reasoned that there should be good coherence between percentage biogenic opal in surface sediments and percentage annual sea-ice cover. This hypothesis was tested by comparing percentage biogenic opal in surface sediments against modern-day sea-ice cover in surface waters directly above each core site. The chronology for each core was determined by various means (biostratigraphy, C-14 age dating, and carbonate and opal stratigraphy). With the resulting curve we estimate that yearly concentration of sea ice can be determined to within 30%. Using these data, we estimated percentage sea-ice cover during the LGM for a number of sediment sites (50-66 degrees S) from the Southern Ocean. Core sites now beneath 100% open water witnessed some 25-60% sea ice during the LGM while core sites presently beneath sea ice during half of the year witnessed more than 75% sea-ice cover during the LGM.</t>
  </si>
  <si>
    <t>Lamont Doherty Earth Observ, Palisades, NY 10964 USA</t>
  </si>
  <si>
    <t>Columbia University</t>
  </si>
  <si>
    <t>Burckle, LH (corresponding author), Lamont Doherty Earth Observ, Palisades, NY 10964 USA.</t>
  </si>
  <si>
    <t>WOS:000079713100049</t>
  </si>
  <si>
    <t>Steig, EJ; Hart, CP; White, JWC; Cunningham, WL; Davis, MD; Saltzman, ES</t>
  </si>
  <si>
    <t>Changes in climate, ocean and ice-sheet conditions in the Ross embayment, Antarctica, at 6 ka</t>
  </si>
  <si>
    <t>CORE RECORD; MASS-SPECTROMETRY; LATE WISCONSIN; SEA-LEVEL; GREENLAND; SHELF; PALEOCLIMATE; RADIOCARBON; GLACIER; HISTORY</t>
  </si>
  <si>
    <t>Evidence from the Ross embayment, Antarctica, suggests an abrupt cooling and a concomitant increase in sea-ice cover at about 6000 sp (6 ka). Stable-isotope (delta D) concentrations in the Taylor Dome ice core, at the western edge of the Ross embayment, decline rapidly after 6 ka, and continue to decline through the late Holocene. Methanesulfonic acid concentrations at Taylor Dome show opposite trends to delta D. Sediment cores from the western Ross Sea show a percentage minimum for the sea-ice diatom Fragilariopsis curta between 9 and 6 ka, when Taylor Dome delta D values are highest, followed by an increase through the late Holocene. Radiocarbon dates from raised beach deposits indicate that the retreat of ice shelves in the Ross embayment ceased at about 6 ka, coincident with the environmental changes inferred from the sediment and ice-core records. The similarity in timing suggests an Important role for climate in controlling the evolution of ice-shelf margins following the end of the last 9 glaciation.</t>
  </si>
  <si>
    <t>Univ Colorado, Inst Arctic &amp; Alpine Res, Boulder, CO 80309 USA; Univ Miami, Rosenstiel Sch Marine &amp; Atmospher Sci, Miami, FL 33149 USA</t>
  </si>
  <si>
    <t>University of Colorado System; University of Colorado Boulder; University of Miami</t>
  </si>
  <si>
    <t>Steig, EJ (corresponding author), Univ Colorado, Inst Arctic &amp; Alpine Res, Boulder, CO 80309 USA.</t>
  </si>
  <si>
    <t>White, James W.C./A-7845-2009; Davis, Mark D M/D-4375-2011; /G-9088-2015</t>
  </si>
  <si>
    <t>/0000-0002-8191-5549</t>
  </si>
  <si>
    <t>WOS:000079713100050</t>
  </si>
  <si>
    <t>Mikolajewicz, U</t>
  </si>
  <si>
    <t>Effect of meltwater input from the Antarctic ice sheet on the thermohaline circulation</t>
  </si>
  <si>
    <t>SEA-LEVEL RECORD; BALANCE MODEL; OCEAN; STABILITY</t>
  </si>
  <si>
    <t>The potential effect of meltwater input from the Antarctic ice sheet is studied in sensitivity experiments with an ocean general circulation model coupled to an energy-balance model of the atmosphere. The effect is generally a reduction of surface salinity and deep convection in the Southern Ocean, associated with surface cooling. There is an accompanying, delayed intensification of the overturning in the Northern Hemisphere, leading to warmer conditions over both the North Atlantic and North Pacific. With a sufficiently large meltwater pulse it is possible to trigger switches between different steady states of the ocean's thermohaline circulation, which differ mainly in the formation rates of North Atlantic Deep Water. Thus a transient perturbation in the Southern Ocean can lead to long-term climate changes in both hemispheres. The model reacts more sensitively to meltwater input into the Weddell Sea than into the Ross Sea.</t>
  </si>
  <si>
    <t>Max Planck Inst Meteorol, D-20146 Hamburg, Germany</t>
  </si>
  <si>
    <t>Mikolajewicz, U (corresponding author), Max Planck Inst Meteorol, Bundesstr 55, D-20146 Hamburg, Germany.</t>
  </si>
  <si>
    <t>WOS:000079713100051</t>
  </si>
  <si>
    <t>Souchez, R; Khazendar, A; Ronveaux, D; Tison, JL</t>
  </si>
  <si>
    <t>Freezing at the grounding line in East Antarctica: possible implications for sediment export efficiency</t>
  </si>
  <si>
    <t>RONNE ICE SHELF; THERMOHALINE CIRCULATION; MARINE ICE; WATER</t>
  </si>
  <si>
    <t>A study of the delta D and delta(18)O composition of ice formed at or: near the grounding line was undertaken in Terra Nova Bay East Antarctica. The results indicate that a double-diffusion mechanism is responsible for freezing at the grounding line in areas sheltered from the sub-ice cavity circulation. Freezing at the grounding line is unlikely to be prevalent today, but the situation may have been different in the past when the ice reached the outer limit of the continental shelf and there was no sub-ice cavity. The implications for sediment export in the polar oceans are explained.</t>
  </si>
  <si>
    <t>Univ Brussels, Fac Sci, Dept Sci Terre &amp; Environm, B-1050 Brussels, Belgium; Temple Univ, Dept Geog, Philadelphia, PA 19122 USA</t>
  </si>
  <si>
    <t>Pennsylvania Commonwealth System of Higher Education (PCSHE); Temple University</t>
  </si>
  <si>
    <t>Souchez, R (corresponding author), Univ Brussels, Fac Sci, Dept Sci Terre &amp; Environm, B-1050 Brussels, Belgium.</t>
  </si>
  <si>
    <t>Tison, Jean-Louis/F-4065-2015</t>
  </si>
  <si>
    <t>Tison, Jean-Louis/0000-0002-9758-3454</t>
  </si>
  <si>
    <t>WOS:000079713100052</t>
  </si>
  <si>
    <t>Zweck, C</t>
  </si>
  <si>
    <t>Glacial isostasy and the crustal structure of Antarctica</t>
  </si>
  <si>
    <t>UPPER-MANTLE HETEROGENEITY; DEGLACIAL LAND EMERGENCE; SVALBARD ARCHIPELAGO; LOAD MODELS</t>
  </si>
  <si>
    <t>Traditional models of glacial isostasy, derived predominantly for studying the response of the earth to the retreat of Northern Hemisphere ice sheets since the last ice age, use earth models which assume constant lithospheric thickness. For Antarctica, where the continent below the ice sheet is two separate land masses differing in geological form, the assumption that a uniform lithosphere can explain isostatic behaviour is questionable. Here, a method to calculate the glacio-isostatic adjustment of the continent with a laterally varying lithospheric thickness is presented. The method is then used in a time-dependent ice-sheet model to model the isostatic response of the continent when the ice sheet passes through a glacial/interglacial transition. Various relations between the crustal thickness beneath Antarctica, derived from seismic data, and the lithospheric thickness estimate used in glacio-isostatic calculations are assumed in a sensitivity study. Using the simplest relationships between crustal and lithospheric thickness, the greatest sensitivity of the ice sheet to the crustal structure of Antarctica is not in the interior but at coastal locations, particularly near the major ice shelves. During periods of ice-sheet advance the grounding-line migration of the shelves varies according to the depression of the earth peripheral to the ice sheet. The peripheral depression depends on the regional elasticity of the lithosphere which is controlled by the lithospheric thickness. Therefore the capacity for the ice sheet to advance varies with the regional thickness of the crust.</t>
  </si>
  <si>
    <t>Univ Tasmania, Antarctic CRC, Hobart, Tas 7001, Australia; Univ Tasmania, Inst Antarctic &amp; So Ocean Studies, Hobart, Tas 7001, Australia</t>
  </si>
  <si>
    <t>Zweck, C (corresponding author), Univ Tasmania, Antarctic CRC, Box 252-80, Hobart, Tas 7001, Australia.</t>
  </si>
  <si>
    <t>WOS:000079713100053</t>
  </si>
  <si>
    <t>Pattyn, F; Decleir, H</t>
  </si>
  <si>
    <t>Ice dynamics near Antarctic marginal mountain ranges: implications for interpreting the glacial-geological evidence</t>
  </si>
  <si>
    <t>RECORD; CORE</t>
  </si>
  <si>
    <t>In the reconstruction of the glacial history of ice-covered areas, ice-sheet dynamics - translating the climatic signal to glacier variations - is often disregarded. In this paper an experimental framework, based on ice-sheet modeling, is presented to determine possible glacier transfer functions linking the climatic signal to the proxy record of glacial-geological observations. Applied to a flowline through a marginal mountain range in Dronning Maud Land, Antarctica, it provides a better insight into the glacial history of the last 200 000 years. With respect to the different combinations of boundary conditions, at least two scenarios were obtained for the glacial history in the vicinity of the mountain range. While inland of the mountains and near the coast the response to the climatic signal is more or less similar for both scenarios, within the mountain range a large difference was found, depending on the choice of boundary conditions. This aberrant behavior of the ice sheet near mountain ranges is an important element in the interpretation of the glacial-geological proxy record as a function of the climatic signal. The reason for the different response patterns encountered in the mountain area is primarily related to the sensitive interplay between surface mass balance and thermomechanical properties of the glacier.</t>
  </si>
  <si>
    <t>Free Univ Brussels, Dept Geog, B-1050 Brussels, Belgium</t>
  </si>
  <si>
    <t>Universite Libre de Bruxelles</t>
  </si>
  <si>
    <t>Pattyn, F (corresponding author), Free Univ Brussels, Dept Geog, Pleinlaan 2, B-1050 Brussels, Belgium.</t>
  </si>
  <si>
    <t>Pattyn, Frank/AAA-9640-2019</t>
  </si>
  <si>
    <t>Pattyn, Frank/0000-0003-4805-5636</t>
  </si>
  <si>
    <t>WOS:000079713100054</t>
  </si>
  <si>
    <t>Ageta, Y; Azuma, N; Fujii, Y; Fujino, K; Fujita, S; Furukawa, T; Hondoh, T; Kameda, T; Kamiyama, K; Katagiri, K; Kawada, K; Kawamura, T; Kobayashi, S; Mae, S; Maeno, H; Miyahara, T; Motoyama, H; Nakayama, Y; Naruse, R; Nishio, F; Saitoh, K; Saitoh, T; Shimbori, K; Shiraiwa, T; Shoji, H; Takahashi, A; Takahashi, S; Tanaka, Y; Yokoyama, K; Watanabe, O</t>
  </si>
  <si>
    <t>Dome-F Deep Coring Grp</t>
  </si>
  <si>
    <t>Deep ice-core drilling at Dome Fuji and glaciological studies in east Dronning Maud Land, Antarctica</t>
  </si>
  <si>
    <t>The Dome Fuji Project is a comprehensive study of present and past glaciological/climatological features of the Antarctic ice sheet in east Dronning Maud Land. Field observations on a 1000 km traverse route from the coast to Dome Fuji show changes in various glaciological parameters with surface elevation and distance from the coast. Deep ice-core drilling at Dome Fuji was started in August 1995 and reached a depth of 2503.52 m in December 1996. In situ core analyses revealed 25 visible tephra layers and a number of distinct cloudy bands in the ice.</t>
  </si>
  <si>
    <t>Natl Inst Polar Res, Itabashi Ku, Tokyo 1738515, Japan</t>
  </si>
  <si>
    <t>Research Organization of Information &amp; Systems (ROIS); National Institute of Polar Research (NIPR) - Japan</t>
  </si>
  <si>
    <t>Ageta, Y (corresponding author), Natl Inst Polar Res, Itabashi Ku, 9-10 Kaga 1 Chome, Tokyo 1738515, Japan.</t>
  </si>
  <si>
    <t>Shiraiwa, Takayuki/E-2000-2012; Fujita, Shuji/A-7884-2016; HONDOH, Takeo/E-7551-2011</t>
  </si>
  <si>
    <t>Fujita, Shuji/0000-0003-0127-0777; Takahashi, Shuhei/0000-0003-2303-8928; HONDOH, Takeo/0000-0003-4129-022X</t>
  </si>
  <si>
    <t>WOS:000079713100055</t>
  </si>
  <si>
    <t>Aoki, S; Azuma, N; Fujii, Y; Fujita, S; Furukawa, T; Hondoh, T; Kamiyama, K; Motoyama, H; Nakawo, M; Nakazawa, T; Narita, H; Satow, K; Shoji, H; Watanabe, O</t>
  </si>
  <si>
    <t>Dome-F Ice Core Res Grp</t>
  </si>
  <si>
    <t>Preliminary investigation of palaeoclimate signals recorded in the ice core from Dome Fuji station, east Dronning Maud Land, Antarctica</t>
  </si>
  <si>
    <t>An ice core to 2503.52 m depth was drilled during 1995 and 1996 at 77 degrees 19'01S, 39 degrees 42'12 E (3810 m a.s.l), at the summit of Dome Fuji, East Antarctica. Climatic and environmental conditions were observed at the coring site throughout the 2 years of wintering operation. Meteorological and glaciological observations made clear the present surface processes of mass balance. The chemistry of the surface snow layers was observed for investigation of the atmospheric environment reflected in snow deposits.</t>
  </si>
  <si>
    <t>Natl Inst Polar Res, Itabashi Ku, Kaga 1-9-10, Tokyo 1738515, Japan</t>
  </si>
  <si>
    <t>Natl Inst Polar Res, Itabashi Ku, Kaga 1-9-10, Tokyo 1738515, Japan.</t>
  </si>
  <si>
    <t>HONDOH, Takeo/E-7551-2011; Fujita, Shuji/A-7884-2016</t>
  </si>
  <si>
    <t>HONDOH, Takeo/0000-0003-4129-022X; Fujita, Shuji/0000-0003-0127-0777</t>
  </si>
  <si>
    <t>WOS:000079713100056</t>
  </si>
  <si>
    <t>Jun, L; Jacka, TH; Morgan, V</t>
  </si>
  <si>
    <t>Crystal-size and microparticle record in the ice core from Dome Summit South, Law Dome, East Antarctica</t>
  </si>
  <si>
    <t>POLAR ICE; FABRICS; GROWTH; AGE</t>
  </si>
  <si>
    <t>An investigation of crystal-size and microparticle variations has been carried out for the 1196 m ice core retrieved from Dome Summit South (DSS) near the summit of Law Dome, East Antarctica. Results show that for ice deposited during the Holocene (depth &lt;1103 m), microparticle concentrations are low Variations of crystal size within the Holocene ice are due to growth with time at a temperature-dependent rate, and recrystallisation as a consequence of the ice flow In the DSS ice core the highest microparticle concentration occurs close to the depth (1133 m) at which oxygen isotope ratios exhibit the greatest negative values, i.e. the Last Glacial Maximum (LGM). Also at this depth, crystal size reduces sharply from a general crystal growth trend above to near minimum core values below. For ice originating during the LGM, the concentration of particles is an order of magnitude greater than the mean Holocene concentration. Laboratory annealing tests at -1 degrees C confirm the retarded crystal growth in the high-microparticle-concentration ice.</t>
  </si>
  <si>
    <t>Jun, L (corresponding author), Antarctic CRC, Box 252-80, Hobart, Tas 7001, Australia.</t>
  </si>
  <si>
    <t>WOS:000079713100057</t>
  </si>
  <si>
    <t>Rosman, KJR; Chisholm, W; Boutron, CF; Hong, S; Edwards, R; Morgan, V; Sedwick, PN</t>
  </si>
  <si>
    <t>Lead isotopes and selected metals in ice from Law Dome, Antarctica</t>
  </si>
  <si>
    <t>ANTHROPOGENIC LEAD; GREENLAND SNOWS; LATE 1960S; POLLUTION; HEMISPHERE; ATMOSPHERE; CADMIUM; ZINC</t>
  </si>
  <si>
    <t>The isotopic composition of Pb and the concentrations of Pb, Ba and Bi were measured in selected ice-core samples from Law Dome, East Antarctica, to a depth of 1196 m. The range of concentrations found in decontaminated ice was 0.03-1.5 pg g(-1) for Pb, 0.9-6.1 pg g(-1) for Ba and 0.4-17 fg g(-1) for Bi, excluding the deepest sample which contained similar to 1 ppm of rock dust. The abundances of all four stable lead Isotopes were measured and gave Pb/Pb-207 ratios UP to similar to 1.23. A value of Pb-208/Pb-207 = 2.78 was measured in the deepest sample and is consistent with reported Pb isotope ratios of Antarctic granulites. Although the element concentrations in some samples were lower than have been reported elsewhere, geochemical and isotopic evidence indicated that a number of samples were contaminated with Pb not present in the original ice. However, it appears that the technical skills now available are approaching the level where careful sample selection, decontamination and analysis can yield accurate results for the concentration and isotopic composition of Pb in Earth's purest naturally occurring ice.</t>
  </si>
  <si>
    <t>Curtin Univ Technol, Dept Appl Phys, Perth, WA 6845, Australia; CNRS, Lab Glaciol &amp; Geophys Environm, F-38402 St Martin Dheres, France; Univ Tasmania, Antarctic CRC, Hobart, Tas 7001, Australia; Univ Tasmania, Inst Antarctic &amp; So Ocean Studies, Hobart, Tas 7001, Australia; Australian Antarctic Div, Hobart, Tas 7001, Australia</t>
  </si>
  <si>
    <t>Curtin University; Centre National de la Recherche Scientifique (CNRS); University of Tasmania; University of Tasmania; Australian Antarctic Division</t>
  </si>
  <si>
    <t>Rosman, KJR (corresponding author), Curtin Univ Technol, Dept Appl Phys, Box U 1987, Perth, WA 6845, Australia.</t>
  </si>
  <si>
    <t>; Edwards, Ross/B-1433-2013</t>
  </si>
  <si>
    <t>Sedwick, Peter/0000-0003-0663-8323; Edwards, Ross/0000-0002-9233-8775</t>
  </si>
  <si>
    <t>WOS:000079713100058</t>
  </si>
  <si>
    <t>Maggi, V; Petit, JR</t>
  </si>
  <si>
    <t>Atmospheric dust concentration record from the Hercules Neve firn core, northern Victoria Land, Antarctica</t>
  </si>
  <si>
    <t>ICE-CORE; DOME-C; CLIMATE; VOSTOK</t>
  </si>
  <si>
    <t>During the ninth Italian Antarctic Expedition, a 22 m deep firn core was drilled on the Hercules Neve (HN) in the Transantarctic Mountains, northern Victoria Land, Antarctica. The continuous dust record from HN, spanning 70 years from 1927 to 1994, displays sharp differences between the upper 15.5 m and the bottom part. The background of dust concentration in the upper part is quite homogeneous, with values around 6.5 x 10(3) particles g(-1) of water, and some peaks reaching maximum values of 1.0-1.5 x 10(4) particles g of water. In this part the volume-size distribution of particles shows a relative maximum around 0.9 mu m, while a second maximum occurs for particles larger than 12 mu m. The larger particles are likely to have a local origin, while the small-size component may be representative of long-range transport dust. Below 15.5 m the record shows higher values in both background and peak concentration, with mean Values of 1.6 x 10(4) particles g(-1). The volume-size distribution changes from 0.9 to 1.5 mu m in parallel with the increase of dust concentration. The dust record suggests significant increases in concentration for the periods 1932-42 and 1951-64. It suggests some correlations with precipitation anomalies over South America and indirectly supports the hypothesis that small-sized dust at HN may originate from South America.</t>
  </si>
  <si>
    <t>Univ Milan, Dipartimento Sci Ambiente &amp; Terr, I-20126 Milan, Italy; CNRS, Lab Glaciol &amp; Geophys Environm, F-38402 St Martin Dheres, France</t>
  </si>
  <si>
    <t>University of Milan; Centre National de la Recherche Scientifique (CNRS)</t>
  </si>
  <si>
    <t>Maggi, V (corresponding author), Univ Milan, Dipartimento Sci Ambiente &amp; Terr, Via Emanueli 15, I-20126 Milan, Italy.</t>
  </si>
  <si>
    <t>Maggi, Valter/E-1878-2014; Maggi, Valter/AAX-5728-2020</t>
  </si>
  <si>
    <t>Maggi, Valter/0000-0001-6287-1213</t>
  </si>
  <si>
    <t>WOS:000079713100059</t>
  </si>
  <si>
    <t>Siegert, MJ; Hodgkins, R; Dowdeswell, JA</t>
  </si>
  <si>
    <t>Internal radio-echo layering at Vostok station, Antarctica, as an independent stratigraphic control on the ice-core record</t>
  </si>
  <si>
    <t>SHEET</t>
  </si>
  <si>
    <t>Antarctic radio-echo sounding (RES) data at 60 MHz have been used to determine an independent stratigraphy for the ice core at Vostok station, based on internal radio-echo layering. A-scope RES data allow the amplitude of reflected electromagnetic (e/m) waves to be measured and! by accounting for geometric spreading and absorption losses of the e/m wave, power reflection coefficients (PRCs) to be calculated. This information is compared with time-continuous Z-scope RES data in order to trace continuous e/m reflectors across the ice sheet. Internal ice-sheet horizons deeper than 800 m are caused by lavers of ice that possess distinctly different dielectric properties (i.e. acidic layers) compared with ice above and/or below Comparison of four PRC samples, located similar to 5 km from Vostok station. revealed five distinct internal reflections between 1000 and 2200 m. Z-scope data from directly over the Vostok station site show the same five prominent internal radio-echo layers. The depth-related radio-echo signals were then compared with chemical records from the Vostok ice core, including the H2SO4 signal, a major component of which is derived from volcanic events. From this procedure, internal radio-echo reflectors and Vostok ice-core acid measurements were correlated. A very good match was made between Z-scope and ice-core data. However, vertical offsets observed between A-scope-derived RES layers and peaks in the chemical signal of up to 100 m are probably due to the general folding of the ice-sheet layering between the core site and the RES flight-line. We conclude that 60 MHz RES layering may be regarded as a stratigraphy independent of palaeoclimate, and may be used to correlate other deep Southern Hemisphere ice cores.</t>
  </si>
  <si>
    <t>Univ London, Royal Holloway &amp; Bedford New Coll, Dept Geog, Egham TW20 0EX, Surrey, England; Univ Bristol, Sch Geog Sci, Bristol BS8 1SS, Avon, England; Univ Coll Wales, Ctr Glaciol, Inst Geog &amp; Earth Sci, Aberystwyth SY23 3DB, Dyfed, Wales</t>
  </si>
  <si>
    <t>University of London; Royal Holloway University London; University of Bristol; Aberystwyth University</t>
  </si>
  <si>
    <t>Siegert, MJ (corresponding author), Univ Coll Wales, Ctr Glaciol, Inst Geog &amp; Earth Sci, Aberystwyth SY23 3DB, Dyfed, Wales.</t>
  </si>
  <si>
    <t>Siegert, Martin/M-9939-2019; Siegert, Martin J/A-3826-2008; Hodgkins, Richard/F-5430-2011</t>
  </si>
  <si>
    <t>Siegert, Martin/0000-0002-0090-4806; Siegert, Martin J/0000-0002-0090-4806; Dowdeswell, Julian/0000-0003-1369-9482</t>
  </si>
  <si>
    <t>WOS:000079713100060</t>
  </si>
  <si>
    <t>Edwards, R; Sedwick, PN; Morgan, V; Boutron, CF; Hong, S</t>
  </si>
  <si>
    <t>Iron in ice cores from Law Dome, East Antarctica: implications for past deposition of aerosol iron</t>
  </si>
  <si>
    <t>LAST CLIMATIC CYCLE; SNOW; INFORMATION; RECORD</t>
  </si>
  <si>
    <t>Total-dissolvable iron has been measured in sections of three ice cores from Law Dome, East Antarctica, and the results used to calculate atmospheric iron deposition over this region during the late Holocene and to provide a preliminary estimate of aerosol iron deposition during the Last Glacial Maximum (LGM). Ice-core sections dating from 56-2730 sp (late Holocene) and similar to 18 000 BP (LGM) were decontaminated using trace-metal clean techniques, and total-dissolvable iron was determined in the acidified meltwaters by flow-injection analysis. Our results suggest that the atmospheric iron flux onto the Law Dome region has varied significantly over time-scales ranging from seasonal to glacial-interglacial. The iron concentrations in ice-core sections from the past century suggest (1) a 2-4-fold variation in the atmospheric iron flux over a single annual cycle, with the highest flux occurring during the spring and summer, and (2) a nearly 7-fold variation in the annual maximum atmospheric iron flux over a 14 year period. The average estimated atmospheric iron flux calculated from our late-Holocene samples is 0.056-0.14 mg m(-2) a(-1), which agrees well with Holocene flux estimates derived from aluminium measurements in inland Antarctic ice cores and a recent order-of-magnitude estimate of present-day atmospheric iran deposition over the Southern Ocean. The iron concentration of an ice-core section dating from the LGM was more than 50 times higher than in the late-Holocene ice samples. Using a snow-accumulation rate estimate of 130 kg m(-2) a(-1) for this period, we calculate 0.87 mg m(-2) a(-1) as a preliminary estimate of atmospheric iron deposition during the LGM, which is 6-16 times greater than our average late-Holocene iron flux. Our data are consistent with the suggestion that there was a significantly greater flux of atmospheric iron onto the Southern Ocean during the LGM than during the Holocene.</t>
  </si>
  <si>
    <t>Univ Tasmania, Antarctic CRC, Hobart, Tas 7001, Australia; Univ Tasmania, Inst Antarctic &amp; So Ocean Studies, Hobart, Tas 7001, Australia; Australian Antarctic Div, Hobart, Tas 7001, Australia; CNRS, Lab Glaciol &amp; Geophys Environm, F-38402 St Martin Dheres, France; Korean Ocean Res &amp; Dev Inst, Ansan 4250600, South Korea</t>
  </si>
  <si>
    <t>University of Tasmania; University of Tasmania; Australian Antarctic Division; Centre National de la Recherche Scientifique (CNRS); Korea Institute of Ocean Science &amp; Technology (KIOST)</t>
  </si>
  <si>
    <t>Edwards, R (corresponding author), Univ Tasmania, Antarctic CRC, Box 252-80, Hobart, Tas 7001, Australia.</t>
  </si>
  <si>
    <t>WOS:000079713100061</t>
  </si>
  <si>
    <t>Kreutz, KJ; Mayewski, PA; Whitlow, SI; Twickler, MS</t>
  </si>
  <si>
    <t>Limited migration of soluble ionic species in a Siple Dome, Antarctica, ice core</t>
  </si>
  <si>
    <t>SOUTH-POLE; ATMOSPHERIC CIRCULATION; SEASONAL-VARIATIONS; VOLCANIC-ERUPTION; SNOW CHEMISTRY; BYRD-STATION; NITRATE</t>
  </si>
  <si>
    <t>High-resolution (&gt;10 samples a(-1)) glaciochemical analyses covering the last 110 years from a Siple Dome, Antarctica, ice core reveal limited migration of certain soluble ionic species (methane sulfonic acid, NO3- and Mg2+). The observed chemical migration may be due in part to seasonal alternation between less acidic winter (from high sea-salt concentrations) and more acidic summer (from high marine biogenic acid concentrations) layers, common at coastal sites such as Siple Dome. Exact mechanisms to explain the migration are unclear, although simple diffusion and gravitational movement are unlikely since new peaks are formed where none previously existed in each case. Initial migration of each species is both shallower and earlier at Siple Dome than at other sites in Antarctica where similar phenomena have been observed, which may be related to the relatively low accumulation rate at Siple Dome (similar to 13.3 cm ice a(-1)). Migration appears to be limited to either the preceding or following seasonal layer for each species, suggesting that paleoclimatic interpretations based on data with lower than annual resolution are not likely to be affected.</t>
  </si>
  <si>
    <t>Univ New Hampshire, Climate Change Res Ctr, Inst Study Earth Oceans &amp; Space, Durham, NH 03824 USA; Univ New Hampshire, Dept Earth Sci, Durham, NH 03824 USA</t>
  </si>
  <si>
    <t>University System Of New Hampshire; University of New Hampshire; University System Of New Hampshire; University of New Hampshire</t>
  </si>
  <si>
    <t>Kreutz, KJ (corresponding author), Univ New Hampshire, Climate Change Res Ctr, Inst Study Earth Oceans &amp; Space, Durham, NH 03824 USA.</t>
  </si>
  <si>
    <t>Mayewski, Paul Andrew/HRD-6969-2023</t>
  </si>
  <si>
    <t>WOS:000079713100062</t>
  </si>
  <si>
    <t>Stenberg, M; Isaksson, E; Hansson, M; Karlén, W; Mayewski, PA; Twickler, MS; Whitlow, SI; Gundestrup, N</t>
  </si>
  <si>
    <t>Spatial variability of snow chemistry in western Dronning Maud Land, Antarctica</t>
  </si>
  <si>
    <t>METHANESULFONIC-ACID; SULFUR EMISSIONS; BIOGENIC SULFUR; SOUTH-POLE; ICE SHELF; ACCUMULATION; AEROSOL; LAYERS; RECORD</t>
  </si>
  <si>
    <t>During the austral summer of 1993-94 a number of 1-2 m deep snow pits were sampled in connection with firn-coring in western Dronning Maud Land, Antartica. The traverse went from 800 to about 3000 m a.s.l. upon the high-altitude plateau. Profiles of cations (Na+, K+, Mg2+, Ca2+), anions (Cl-, NO3-, SO42, CH3SO3-) and stable oxygen isotopes (delta(18)O) from 11 snow pits are presented here. Close to the coast 2 m of snow accumulates in about 2-3 years. whilst at sites on tilt, high-altitude plateau 2 m of snow accumulates in 10-14 years. The spatial variation in ion concentrations shows that the ions can be divided into two groups, one with sea-salt elements and methane sulfonate and the other with nitrate and sulfate. For the sea-salt elements and methane sulfonate the concentrations decrease with increasing altitude and increasing distance from the coast, as well as with decreasing temperature and decreasing accumulation rate. For nitrate and sulfate the concentrations are constant or increase with respect re, these parameters. This pattern suggests that the sources for sea-salt elements and methane sulfonate ale local, whereas the sources for nitrate and sulfate are a mixture of local and long-range transport.</t>
  </si>
  <si>
    <t>Stockholm Univ, Dept Phys Geog, S-10691 Stockholm, Sweden; Norwegian Polar Res Inst, N-0301 Oslo, Norway; Stockholm Univ, Dept Meteorol, S-10691 Stockholm, Sweden; Univ New Hampshire, Inst Study Earth Oceans &amp; Space, Glacier Res Grp, Durham, NH 03824 USA; Univ Copenhagen, Niels Bohr Inst, Dept Geophys, DK-2100 Copenhagen O, Denmark</t>
  </si>
  <si>
    <t>Stockholm University; Norwegian Polar Institute; Stockholm University; University System Of New Hampshire; University of New Hampshire; University of Copenhagen; Niels Bohr Institute</t>
  </si>
  <si>
    <t>Stenberg, M (corresponding author), Stockholm Univ, Dept Phys Geog, S-10691 Stockholm, Sweden.</t>
  </si>
  <si>
    <t>WOS:000079713100063</t>
  </si>
  <si>
    <t>Curran, MAJ; van Ommen, TD; Morgan, V</t>
  </si>
  <si>
    <t>Seasonal characteristics of the major ions in the high-accumulation Dome Summit South ice core, Law Dome, Antarctica</t>
  </si>
  <si>
    <t>NITRATE; GREENLAND; SNOW; CHEMISTRY; ISLAND</t>
  </si>
  <si>
    <t>seasonal cycles of the chemical species Na+, K+, Mg2+, Ca2+, CH3SO3- (MSA), Cl-, NO3- and SO42- in the Dome Summit South (DSS) ice core from Law Dome were measured for a number of epochs (AD 1809-15, 1821-31, 1980-92) spanning a total of 28 years. These preliminary trace-chemical patterns show that the DSS site is mainly affected by marine air. The main features found in the seasonal pattern of seasalt concentrations (e.g. Na+, Cl- and Mg2+) were a winter peak and a summer minimum. The variations in sea salts are believed to reflect aerosol production and transport due to the level of storminess, and are less affected by sea-ice extent. The seasonal cycles of marine biogenic compounds, non-sea-salt SO42- and MSA are in good agreement. They show a characteristic summer maximum and a winter minimum, due to variations in biological activity. While the main sources of nitrate in polar snow remain unclear, the seasonal signal, including sub-seasonal structure, at DSS resembles that found in the atmosphere at coastal Antarctic sites. However, the timing of the nitrate maximum is different in the ice-core record compared with the aerosol records. Overall, the results indicate that the DSS core, with sub-seasonal resolution, contains a sensitive record for investigating climate variability.</t>
  </si>
  <si>
    <t>Curran, MAJ (corresponding author), Antarctic CRC, Box 252-80, Hobart, Tas 7001, Australia.</t>
  </si>
  <si>
    <t>WOS:000079713100064</t>
  </si>
  <si>
    <t>Udisti, R; Becagli, S; Traversi, R; Vermigli, S; Piccardi, G</t>
  </si>
  <si>
    <t>Preliminary evidence of a biomass-burning event from a 60 year-old firn core from Antarctica by ion chromatographic determination of carboxylic acids</t>
  </si>
  <si>
    <t>GREENLAND ICE; PRECIPITATION SAMPLES; CENTRAL AMAZONIA; INORGANIC ACIDS; EMISSIONS; SNOW; CHEMISTRY; AEROSOLS; FOREST; SITE</t>
  </si>
  <si>
    <t>An ion chromatographic method for the determination of fluoride and some organic anions (lactate, acetate, glycolate, propionate, formate, methane sulphonate and pyruvate) at sub-mu g l(-1) concentration levels is applied to a 22 m (63 years) firn core drilled at Hercules Neve, northern Victoria Land, Antarctica. The first effective distribution data of acetate, propionate and formate for this region are reported here. Mean values of 9.9, 7.7 and 2.4 mu g l(-1) were calculated for acetate, formate and propionate, respectively, in the absence of particular events (background values). The temporal (1928-82) concentration/depth profiles of these components showed a probable long-term biomass-burning event in the 1930s that can be related back to processes in the Southern Hemisphere. Such burning events may be demonstrated from the simultaneous concentration increase of carboxylic acid, potassium, ammonium and fluoride and from a very high dust content. Similar increasing trends in the same time period are not shown by other snow components usually considered as source indicators (methane sulphonic acid: biogenic marker; nssSO(4)(2-): biogenic and volcanic indicator; Na(+) and Cl(-): sea-spray contribution; Ca(2+): crustal input), so it was possible to exclude such alternative explanations.</t>
  </si>
  <si>
    <t>Univ Florence, Dept Publ Hlth &amp; Environm Analyt Chem, I-50121 Florence, Italy</t>
  </si>
  <si>
    <t>University of Florence</t>
  </si>
  <si>
    <t>Udisti, R (corresponding author), Univ Florence, Dept Publ Hlth &amp; Environm Analyt Chem, Via G Capponi 9, I-50121 Florence, Italy.</t>
  </si>
  <si>
    <t>Becagli, Silvia/GNW-2665-2022; Udisti, Roberto/M-7966-2015; Traversi, Rita/M-7586-2015</t>
  </si>
  <si>
    <t>Udisti, Roberto/0000-0003-4440-8238; Traversi, Rita/0000-0002-9790-2195; Becagli, Silvia/0000-0003-3633-4849</t>
  </si>
  <si>
    <t>WOS:000079713100065</t>
  </si>
  <si>
    <t>Noone, D; Simmonds, I</t>
  </si>
  <si>
    <t>Implications for the interpretation of ice-core isotope data from analysis of modelled Antarctic precipitation</t>
  </si>
  <si>
    <t>GENERAL-CIRCULATION MODEL; CLIMATE</t>
  </si>
  <si>
    <t>By consideration of model-generated atmospheric data, dominant anomalies in the synoptic circulation patterns are observed under conditions of high Antarctic precipitation This is associated with strong moisture advection of marine origin. Examining precipitation at individual locations reveals a strong relationship between local surface temperature and precipitation amount. Bays with &gt;5 mm of precipitation (which, on average, corresponds to about 8% of days over Antarctica) have surface temperatures that are around 10 degrees C warmer than the mean. This bias suggest that abnormal conditions are captured in the ice-core record and that interpretation or reconstruction of palaeotemperatures will succeed only under the possibly flawed assumption that similar abnormal conditions existed at the time of deposition. Although isotopic analysis of Antarctic ice cores has been used successfully in palaeoclimate studies, a complete understanding of the underlying processes affecting the deposition of the core remains to be found. It is reasoned that by obtaining such an understanding, it may be possible to reconstruct the synoptic conditions under which accumulating occurred.</t>
  </si>
  <si>
    <t>Univ Melbourne, Sch Earth Sci, Parkville, Vic 3052, Australia</t>
  </si>
  <si>
    <t>University of Melbourne</t>
  </si>
  <si>
    <t>Noone, D (corresponding author), Univ Melbourne, Sch Earth Sci, Parkville, Vic 3052, Australia.</t>
  </si>
  <si>
    <t>Simmonds, Ian/0000-0002-4479-3255; NOONE, DAVID/0000-0002-8642-7843</t>
  </si>
  <si>
    <t>WOS:000079713100066</t>
  </si>
  <si>
    <t>Carleton, AM; John, G; Welsch, R</t>
  </si>
  <si>
    <t>Interannual variations and regionality of Antarctic sea-ice-temperature associations</t>
  </si>
  <si>
    <t>AUTOMATIC WEATHER STATIONS; ATMOSPHERIC CIRCULATION; SOUTHERN OSCILLATION; MESOSCALE CYCLOGENESIS; CLIMATE VARIABILITY; ROSS SEA; EXTENT; OCEAN; MESOCYCLONES; ANOMALIES</t>
  </si>
  <si>
    <t>In the Antarctic, climate-scale anomalies of surface temperature (T-s) are associated with the atmospheric circulation and also sea-ice conditions. Negative (positive) anomalies of station T-s tend to accompany more (less) extensive sea ice in broadly similar longitudes. However, the relationship between temperature and sea-ice conditions during large interannual variations of the circulation has been little explored, as has its association over longer distances within Antarctica. This study examines the inter-associations between T-s at seven automatic weather stations in East Antarctica and the Ross Sea area, and sea-ice conditions in the sector 30 degrees E eastward to 60 degrees W for the three ice-growth seasons (March-October) of 1987-89. Strong between-year differences occur in the intercorrelations among station T-s, sectoral ice extent and the relationship between the two climate variables, especially for 1988 and 1989. These differences are also expressed in the patterns of cold-air mesoscale cyclogenesis over sub-Antarctic latitudes. The study indicates that the T-s-sea-ice link is modulated strongly in the presence of large-scale interannual anomalies of the atmospheric circulation, including the El Nino-Southern Oscillation (ENSO).</t>
  </si>
  <si>
    <t>Penn State Univ, Dept Geog, University Pk, PA 16802 USA; Penn State Univ, Ctr Earth Syst Sci,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</si>
  <si>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</si>
  <si>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Carleton, AM (corresponding author), Penn State Univ, Dept Geog, University Pk, PA 16802 USA.</t>
  </si>
  <si>
    <t>WOS:000079713100067</t>
  </si>
  <si>
    <t>Watkins, AB; Simmonds, I</t>
  </si>
  <si>
    <t>Relationships between Antarctic sea-ice concentration, wind stress and temperature temporal variability, and their changes with distance from the coast</t>
  </si>
  <si>
    <t>SOUTHERN-OCEAN</t>
  </si>
  <si>
    <t>Daily Antarctic sea-ice concentration, wind and temperature data for the years 1988-94 were analyzed using Fourier techniques to determine their temporal spectra for three equal-length seasons. The percentage of the total variance explained (VE) by each individual wave (i.e. frequency) was calculated, and spatial averages made over six latitudinal bands surrounding Antarctica. Comparisons of the sea-ice concentration, wind stress and surface air-temperature spectra showed sea-ice concentration VE has smallest, and wind-stress VE greatest, value in the synoptic time-scales. Conversely in the 20-25 day window the wind-stress VE is smallest, and sea-ice concentration VE greatest. This red shift of the sea-ice concentration suggests it has inertia to the wind stress and temperature forcing. Results show the magnitude of the red shift varies with not only time of year, but also distance from the coast, and is dependent upon the position of the Antarctic circumpolar trough.</t>
  </si>
  <si>
    <t>Watkins, AB (corresponding author), Univ Melbourne, Sch Earth Sci, Parkville, Vic 3052, Australia.</t>
  </si>
  <si>
    <t>Simmonds, Ian/0000-0002-4479-3255</t>
  </si>
  <si>
    <t>WOS:000079713100068</t>
  </si>
  <si>
    <t>Wu, XR; Budd, WF</t>
  </si>
  <si>
    <t>Modelling global warming and Antarctic sea-ice changes over the past century</t>
  </si>
  <si>
    <t>GENERAL-CIRCULATION MODEL; OCEAN-ATMOSPHERE MODEL; THICKNESS DISTRIBUTION; CLIMATE-CHANGE; ADVECTION</t>
  </si>
  <si>
    <t>An atmosphere-sea-ice model is used in combination with results from a coupled atmosphere-ocean-sea-ice model to examine the changes of the Antarctic sea-ice cover influenced by atmospheric circulation associated with the global sea-surface temperature (SST) changes alone over the past century. Using the current climatological SST of Reynolds for forcing, a reasonable seasonal simulation of the Antarctic sea-ice cover for the present climate (including ice concentration, thickness and coverage) is obtained. When global SST anomalies for the past century (derived from the coupled atmosphere ocean-sea-ice model) are imposed, sea ice becomes more extensive, on the annual average, by 0.7-1.2 degrees of latitude, more compact by about 5-7%, and thicker by 7-13 cm, than at present. These changes are similar to those simulated from changes in greenhouse gases using the coupled atmosphere-ocean-sea-ice model which gave corresponding changes of about 0.8 degrees of latitude in extent, 6% in ice concentration and 12 cm in ice thickness. The simulated change in annual mean global surface temperature by the coupled atmosphere-ocean-sea-ice model was 0.7 K (0.6 K over the ocean including sea ice) which is similar to the observed change. Over the Antarctic the corresponding simulated change is 1.2 K which also appears compatible with observations.</t>
  </si>
  <si>
    <t>Wu, XR (corresponding author), Antarctic CRC, Box 252-80, Hobart, Tas 7001, Australia.</t>
  </si>
  <si>
    <t>WOS:000079713100069</t>
  </si>
  <si>
    <t>Massom, RA; Harris, PT; Michael, KJ; Potter, MJ</t>
  </si>
  <si>
    <t>The distribution and formative processes of latent-heat polynyas in East Antarctica</t>
  </si>
  <si>
    <t>EMPEROR PENGUINS; COASTAL POLYNYA; COSMONAUT SEA; IMAGERY; WINTER; WINDS; OCEAN; AVHRR; WATER; BAY</t>
  </si>
  <si>
    <t>A study of polynya characteristics in East Antarctica was undertaken using ice concentrations derived from special sensor microwave/imager data for the period July 1987-August 1994. The areas of polynyas were defined as having an ice concentration less than or equal to 75%. The analysis revealed a total of 28 coastal polynyas within the study region. The spatial and temporal variability in areal extent was quantified. The tinting of mean maximum areal extent varied from June to October. The bathymetry and wind regime at each polynya site was examined to gauge the relative importance of these parameters in polynya formation and maintenance. In 20 locations, shallow banks and shoals form grounding zones for icebergs and anchoring sites for fast ice, which li,rm barriers to the predominantly westward drift of the pack ice, elsewhere north-south coastal protrusions or alignments form similar barriers. The subsequent removal of newly formed sea ice from the lee of such barriers by katabatic and synoptic winds maintains areas of reduced ice concentration and open water. Very few coastal polynyas are attributed solely to katabatic outflow. The combined influence of bathymetry, topography and winds is responsible for the characteristics of the majority of polynyas. Many were considered to be marginal, characterised by occasional periods when the ice concentration falls below 75%. An analysis of annual winter totals of areas with ice concentrations &lt;75% shows no trends in total polynya areal extent over the period 1987-94. Known locations of emperor penguin (Aptenodytes forsteri) rookeries were also found to be associated with the locations of coastal polynyas.</t>
  </si>
  <si>
    <t>Univ Tasmania, Antarctic CRC, Hobart, Tas 7001, Australia; Australian Geol Survey Org, Hobart, Tas 7001, Australia; Univ Tasmania, Inst Antarctic &amp; So Ocean Studies, Hobart, Tas 7001, Australia</t>
  </si>
  <si>
    <t>University of Tasmania; Geoscience Australia; University of Tasmania</t>
  </si>
  <si>
    <t>Massom, RA (corresponding author), Univ Tasmania, Antarctic CRC, Box 252-80, Hobart, Tas 7001, Australia.</t>
  </si>
  <si>
    <t>Harris, Peter T/C-6997-2009; Harris, Peter/AAI-7100-2020; Michael, Kelvin/J-7217-2014</t>
  </si>
  <si>
    <t>Massom, Robert/0000-0003-1533-5084; Michael, Kelvin/0000-0002-5427-7393</t>
  </si>
  <si>
    <t>WOS:000079713100070</t>
  </si>
  <si>
    <t>Worby, AP; Wu, XR</t>
  </si>
  <si>
    <t>East Antarctic sea ice: observations and modelling</t>
  </si>
  <si>
    <t>GENERAL-CIRCULATION MODEL; THICKNESS DISTRIBUTION; AMUNDSEN SEAS; SNOW COVER; BELLINGSHAUSEN; CLIMATE</t>
  </si>
  <si>
    <t>The importance of monitoring sea ice for studies of global climate has been well noted for several decades. Observations have shown that sea ice exhibits large seasonal variability in extent, concentration and thickness. These changes have a significant impact on climate, and the potential nature of many of these connections has been revealed in studies with numerical models. An accurate representation of the sea-ice distribution (including ice extent, concentration and thickness) in climate models is therefore important for modelling global climate change. This work presents an overview of the observed sea-ice characteristics in the East Antarctic pack ice (60-150 degrees E) and outlines possible improvements to the simulation of sea ice over this region by modifying the ice-thickness parameterisation in a coupled sea-ice-atmosphere model, using observational data of ice thickness and concentration. Sensitivity studies indicate that the simulation of East Antarctic sea ice can be improved by modifying both the lead parameterisation and rafting scheme to be ice-thickness dependent. The modelled results are currently out of phase with the observed data, and the addition of a multilevel ice-thickness distribution would improve the simulation significantly.</t>
  </si>
  <si>
    <t>Worby, AP (corresponding author), Antarctic CRC, Box 252-80, Hobart, Tas 7001, Australia.</t>
  </si>
  <si>
    <t>Worby, Anthony P/A-2373-2012</t>
  </si>
  <si>
    <t>WOS:000079713100071</t>
  </si>
  <si>
    <t>Heil, P; Lytle, VI; Allison, I</t>
  </si>
  <si>
    <t>Enhanced thermodynamic ice growth by sea-ice deformation</t>
  </si>
  <si>
    <t>WESTERN</t>
  </si>
  <si>
    <t>Sea-ice drift and deformation were measured with an array of drifting buoys during a 1995 winter experiment off the East Antarctic continental shelf south of the Antarctic Divergence. The buoys were configured so that deformation of the icefield could be monitored on a range of spatial scales from 2 to 130 km. The mean hourly drift rate during the 3 week-long experiment was 0.21 m s(-1), and the mean daily translation of the field was 17.3 km. Differential kinematic parameters calculated from the data show a very high short-term variance, indicating that high-frequency processes are dominant. Spectral analysis of the velocity data shows a major peak of the energy spectrum at the frequency of passage of synoptic weather systems, and a second peak at the inertial frequency. A major storm event occurred during the experiment, Net divergence over this phase of the experiment, as measured by a five-buoy array, is small compared to the short-period variance. This alternating divergence and convergence has a marked effect on the net ice growth. Intense freezing and rapid new ice formation occurs in the open water areas formed during divergence, and this is thickened by rafting and ridge-building during the subsequent convergence, New open water areas equivalent to 10% of the total area formed during the first phase of the experiment. A one-dimensional multilayer thermodynamic model of ice growth shows that this led to an increase of 2.8 cm in the area-averaged ice growth over a 7 day interval, which is equivalent to 40-50% of the total estimated ice growth over the region.</t>
  </si>
  <si>
    <t>Univ Tasmania, Antarctic CRC, Hobart, Tas 7001, Australia; Univ Tasmania, Inst Antarctic &amp; So Ocean Studies, Hobart, Tas 7001, Australia; Australian Antarctic Div, Hobart, Tas 7001, Australia</t>
  </si>
  <si>
    <t>University of Tasmania; University of Tasmania; Australian Antarctic Division</t>
  </si>
  <si>
    <t>Heil, P (corresponding author), Univ Tasmania, Antarctic CRC, Box 252-80, Hobart, Tas 7001, Australia.</t>
  </si>
  <si>
    <t>Allison, Ian F/0000-0001-9599-0251; Heil, Petra/0000-0003-2078-0342</t>
  </si>
  <si>
    <t>WOS:000079713100072</t>
  </si>
  <si>
    <t>Langhorne, PJ; Squire, VA; Fox, C; Haskell, TG</t>
  </si>
  <si>
    <t>Break-up of sea ice by ocean waves</t>
  </si>
  <si>
    <t>THICKNESS DISTRIBUTION; TRANSMISSION; REFLECTION</t>
  </si>
  <si>
    <t>The manner in which sea ice breaks up determines its floc-size distribution. This, together with any redistribution due to ocean currents or winds, alters the fluxes between the atmosphere and the underlying ocean. Many materials fail at stresses well below their flexural strength when subject to repeated bending, such processes being termed fatigue. In some materials a stress exists below which the material will maintain its integrity even if subjected to an infinite number of load cycles. This stress is termed the endurance limit. We report a series of field experiments to investigate thr fatigue behaviour of first-year sea ice that subjected in situ cantilever beams to repeated bending with zero mean stress. These tests suggest that an endurance limit exists fur sea ice, and that it is approximately 60% of the flexural strength. Using theory and data from wave experiments performed in similar conditions to the fatigue experiments, estimates are made of the conditions under which wave-induced break-up occurs. These indicate that fatigue may be a neglected ingredient of sea-ice failure due to wave-induced motion.</t>
  </si>
  <si>
    <t>Univ Otago, Dept Phys, Dunedin, New Zealand; Univ Otago, Dept Math &amp; Stat, Dunedin, New Zealand; Univ Auckland, Dept Math, Auckland, New Zealand; Ind Res Ltd, Lower Hutt, New Zealand</t>
  </si>
  <si>
    <t>University of Otago; University of Otago; University of Auckland; Callaghan Innovation</t>
  </si>
  <si>
    <t>Langhorne, PJ (corresponding author), Univ Otago, Dept Phys, POB 56, Dunedin, New Zealand.</t>
  </si>
  <si>
    <t>; Langhorne, Pat/C-3539-2018</t>
  </si>
  <si>
    <t>Fox, Colin/0000-0002-9278-1777; Langhorne, Pat/0000-0003-0239-7657; Squire, Vernon/0000-0002-5570-3446</t>
  </si>
  <si>
    <t>WOS:000079713100073</t>
  </si>
  <si>
    <t>Hibler, WD; Heil, P; Lytle, VI</t>
  </si>
  <si>
    <t>On simulating high-frequency variability in Antarctic sea-ice dynamics models</t>
  </si>
  <si>
    <t>Due to frequent and intense storm systems moving across the Antarctic sea ice, ice drift and deformation fluctuate substantially. Observations of drifting buoys show inertial power to be a substantial component of ice drift and deformation. Because the inertial period at high latitudes is close to tidal periods, this peak can be amplified due to resonance. In practice, the energy dissipation by ice interaction plays a significant role in dampening out this inertial energy. In present sea-ice dynamics models both with and without ice interaction, this inertial motion is overdamped due to the underestimation of coupling to the ocean boundary layer. To develop a more consistent treatment of ice drift under fluctuating wind fields, we consider here a vertically integrated formulation of the ice-ocean boundary-layer system that incorporates a more realistic treatment of the upper ocean. Under steady wind conditions this model reduces to the normal water-drag formulation used in most sea-ice dynamics models. Simulations using this imbedded model are analyzed to elucidate the role of ice interaction in the Antarctic ice-pack in modifying the high-frequency motion and inducing deformation which in turn significantly impact ice-thickness characteristics. The simulations demonstrate that in an interacting ice field in the presence of kinematic waves inertial imbedding can lead to oscillations in ice concentration of up to similar to 10% open water. These variations are similar in magnitude to observed deformation fluctuations in tide-free regions.</t>
  </si>
  <si>
    <t>Dartmouth Coll, Thayer Sch Engn, Hanover, NH 03755 USA; Univ Tasmania, Antarctic CRC, Hobart, Tas 7001, Australia; Univ Tasmania, Inst Antarctic &amp; So Ocean Studies, Hobart, Tas 7001, Australia</t>
  </si>
  <si>
    <t>Dartmouth College; University of Tasmania; University of Tasmania</t>
  </si>
  <si>
    <t>Hibler, WD (corresponding author), Dartmouth Coll, Thayer Sch Engn, Hanover, NH 03755 USA.</t>
  </si>
  <si>
    <t>Heil, Petra/0000-0003-2078-0342</t>
  </si>
  <si>
    <t>WOS:000079713100074</t>
  </si>
  <si>
    <t>Lytle, VI; Worby, AP; Massom, RA</t>
  </si>
  <si>
    <t>Sea-ice pressure ridges in East Antarctica</t>
  </si>
  <si>
    <t>WEDDELL SEA; WINTER</t>
  </si>
  <si>
    <t>Sea-ice extent and concentration are routinely measured using satellite sensors. However, regional estimates of sea-ice thickness cannot be measured directly from space, and largely depend on field observations within the pack ice. One difficulty is estimating the amount of ice contained in pressure ridges. These ridges can contribute substantially to the total ice volume, yet are highly variable both spatially and temporally Here we provide estimates of sea-ice ridge height and frequency in the East Antarctic region around 65 degrees S, 140 degrees E. We calculate ridge height distributions using high-resolution ( &lt; 1m) digital aerial photography collected in August 1995. We examine the ridge height distribution and ridge concentration from near the coast of Antarctica northwards to the marginal ice zone. The area-averaged volume of ice in ridges contributes 0.06-1.35 m to the undeformed ice thickness in winter. There is a hand of less deformed ice centred around 65 degrees S, with more highly deformed ice to the south. Similar features are identified in satellite synthetic aperture radar data collected over the same region in August 1995 and 1996, and in observations of sea-ice characteristics collected during field experiments.</t>
  </si>
  <si>
    <t>Lytle, VI (corresponding author), Antarctic CRC, Box 252-80, Hobart, Tas 7001, Australia.</t>
  </si>
  <si>
    <t>Massom, Robert/0000-0003-1533-5084</t>
  </si>
  <si>
    <t>WOS:000079713100075</t>
  </si>
  <si>
    <t>Fisher, R; Lytle, VI</t>
  </si>
  <si>
    <t>Atmospheric drag coefficients of Weddell Sea ice computed from roughness profiles</t>
  </si>
  <si>
    <t>WIND STRESS; HEAT-FLUX; ZONE</t>
  </si>
  <si>
    <t>Sea ice is a highly mobile component of the Antarctic environment. Its velocity and deformation are critical processes, important in global climate models. These variables are determined by the balance of atmospheric and oceanic forces on each ice flee and variations in these forcings, and can produce regions of divergence or convergence. Surface drag coefficients relate the forces due to wind or water to the stress applied to the ice flee. This study adds to the limited drag coefficients reported previously for Antarctic data. Surface elevation profiles were collected during two ship-based voyages to the Weddell Sea in 1992 and 1994, and were also recorded on Ice Station Weddell in 1992. These data are used to derive surface drag coefficients using an empirical formulation following Banke and others (1980). The eastern and western regions of the Weddell Sea contain primarily first- and second-year ice, respectively. Despite these different ice types, the drag coefficients calculated are similar. The different ice-drift/wind-speed ratio in the two regions suggests a difference in ocean currents, internal ice stress or water drag. The drag coefficients calculated ranged between 1.2 x 10(-3) and 2.2 x 10(-3). The results compare well with other published Antarctic coefficients, and are generally smaller than those reported for the Arctic.</t>
  </si>
  <si>
    <t>Fisher, R (corresponding author), Univ Tasmania, Antarctic CRC, Box 252-80, Hobart, Tas 7001, Australia.</t>
  </si>
  <si>
    <t>WOS:000079713100076</t>
  </si>
  <si>
    <t>Rapley, M; Lytle, VI</t>
  </si>
  <si>
    <t>Brine infiltration in the snow cover of sea ice in the eastern Weddell Sea, Antarctica</t>
  </si>
  <si>
    <t>FLUX</t>
  </si>
  <si>
    <t>The snow cover on Antarctic sea ice often depresses the ice below sea level, allowing brine or seawater to infiltrate, or flood the snowpack. This significantly reduces the thermal insulation properties of the snow cover, and increases the ocean/ atmosphere heat flux. The subsequent refreezing of this saturated snow or slush layer, to form snow-ice, can account for a significant percentage of the total ice mass in some regions. The extent of saturated snow cannot presently be estimated from satellite remote-sensing data and, because it is often hidden by a layer of dry snow, cannot be estimated from visual observations. Here, we use non-parametric statistics to combine sea-ice and snow thickness data from drillhole measurements with routine visual observations of snow and ice characteristics to estimate the extent of brine-infiltrated snow The data were collected during July-August 1994 from the R/V Nathaniel B. Palmer in the eastern Weddell Sea from 60 degrees to 68 degrees S latitude and from 20 degrees W to 5 degrees E longitude.</t>
  </si>
  <si>
    <t>Rapley, M (corresponding author), Univ Tasmania, Antarctic CRC, Box 252-80, Hobart, Tas 7001, Australia.</t>
  </si>
  <si>
    <t>WOS:000079713100077</t>
  </si>
  <si>
    <t>Michael, KJ; Hungria, CS; Massom, RA</t>
  </si>
  <si>
    <t>Radiometric measurements of sea-ice surface temperature in East Antarctica</t>
  </si>
  <si>
    <t>THERMAL-BOUNDARY LAYER; INFRARED RADIOMETER; SATELLITE; ATMOSPHERE; OCEAN</t>
  </si>
  <si>
    <t>This paper presents surface temperature data collected over East Antarctic sea ice by two thermal infrared radiometers mounted on the RSV Aurora Australis in March-May 1993. Operating at wavelengths equivalent to those utilised by channels 4 and 5 of AVHRR and similar channels of ATSR, the radiometers provided high-resolution data on surface. (skin) temperature along the ship track. Additional information on the sea-ice conditions was obtained from hourly observations made from the ship's bridge, video footage and direct measurements made at ice stations. Following calibration, time series of temperatures from each of the radiometers were compared with ice-surface and near-surface air temperatures. Observed changes in the surface temperature are related to different snow and ice conditions. For a given air temperature, the surface temperature depends upon the thickness of ice and its snow cover. While open water areas (leads) hale temperatures near -2.0 degrees C, thick ice is characterised by surface temperatures which approximate those of the air. Taken as a whole, the along-track profile of surface temperature provides a proxy estimate of the proportion of open water and thin ice within the pack. The presence of a snow cover has a significant effect on the surface temperature. It is anticipated that the results will be of use in the validation of sea-ice models and satellite thermal infrared data.</t>
  </si>
  <si>
    <t>Univ Tasmania, Antarctic CRC, Box 252-80, Hobart, Tas 7001, Australia.</t>
  </si>
  <si>
    <t>Michael, Kelvin/J-7217-2014</t>
  </si>
  <si>
    <t>Michael, Kelvin/0000-0002-5427-7393; Massom, Robert/0000-0003-1533-5084</t>
  </si>
  <si>
    <t>WOS:000079713100078</t>
  </si>
  <si>
    <t>McGuinness, MJ; Trodahl, HJ; Collins, K; Haskell, TG</t>
  </si>
  <si>
    <t>Non-linear thermal transport and brine convection in first-year sea ice</t>
  </si>
  <si>
    <t>GROWTH</t>
  </si>
  <si>
    <t>We report the first results from a programme recently set up to directly measure the thermal conductivity of young sea ice. An array of thermistors frozen into first-year Antarctic sea ice provides temperature vs depth data, which is fitted directly with a partial differential equation for heat conduction. Temperatures are recorded every hour at 20 vertical intervals of 100 mm over a period of 5 months, allowing accurate and direct estimation of the thermal conductivity. Preliminary results indicate that the thermal conductivity is in the expected range, with some evidence of non-linear effects deeper in the ice. A larger variance in data is evident at higher temperature gradients and at greater depths in the ice. Preliminary modelling of the impact of brine migration on heat transport through first-year sea ice is presented. Diffusion-driven brine pocket migration is too slow to contribute significantly to heat flow but the convective instability of inclined brine slots or tubes is a promising mechanism.</t>
  </si>
  <si>
    <t>Victoria Univ Wellington, Sch Math &amp; Comp Sci, Wellington, New Zealand; Victoria Univ Wellington, Dept Phys, Wellington, New Zealand; Ind Res Ltd, Lower Hutt, New Zealand</t>
  </si>
  <si>
    <t>Victoria University Wellington; Victoria University Wellington; Callaghan Innovation</t>
  </si>
  <si>
    <t>McGuinness, MJ (corresponding author), Victoria Univ Wellington, Sch Math &amp; Comp Sci, POB 600, Wellington, New Zealand.</t>
  </si>
  <si>
    <t>McGuinness, Mark/0000-0003-1860-6177</t>
  </si>
  <si>
    <t>WOS:000079713100079</t>
  </si>
  <si>
    <t>Marsland, S; Wolff, JO</t>
  </si>
  <si>
    <t>East Antarctic seasonal sea-ice and ocean stability: a model study</t>
  </si>
  <si>
    <t>WINTER MIXED LAYER; SOUTHERN-OCEAN; CLIMATE; FLUX</t>
  </si>
  <si>
    <t>A high-resolution primitive equation ocean model has been coupled to a dynamic/thermodynamic sea-ice model and applied to a region of the Southern Ocean south of Australia. The model is found to be very sensitive to the surface fresh-water flux. A stable seasonal cycle of sea-ice advance and retreat is simulated only for sufficient surface fresh-water fluxes. For fresh-water fluxes below a threshold value of around 40 cm a(-1) the coupled system enters a thermal mode characterised by vertical homogeneity of the oceanic temperature and salinity fields. Such an ocean has a surface temperature that is too warm for a sea-ice cover to develop. Spatial and temporal variability of the oceanic heat flux into the upper model layer is examined for the stable simulations. High values of this oceanic heat flux (similar to 40 W m(-2)) occur during the sea-ice formation period (March-June), with values as low as 5 W m(-2) occurring in November. The source of this heat is primarily convective, a process induced by brine rejection during ice growth.</t>
  </si>
  <si>
    <t>Univ Tasmania, Antarctic CRC, Hobart, Tas 7001, Australia; Univ Tasmania, IASOS, Hobart, Tas 7001, Australia</t>
  </si>
  <si>
    <t>Marsland, S (corresponding author), Univ Tasmania, Antarctic CRC, Box 252-80, Hobart, Tas 7001, Australia.</t>
  </si>
  <si>
    <t>Marsland, Simon J/A-1453-2012; Wolff, Joerg-Olaf/F-8248-2010</t>
  </si>
  <si>
    <t>Marsland, Simon J/0000-0002-5664-5276; Wolff, Joerg-Olaf/0000-0001-7037-7688</t>
  </si>
  <si>
    <t>WOS:000079713100080</t>
  </si>
  <si>
    <t>Motoi, T; Kitoh, A; Koide, H</t>
  </si>
  <si>
    <t>Antarctic Circumpolar Wave in a coupled ocean-atmosphere model</t>
  </si>
  <si>
    <t>SEA-ICE</t>
  </si>
  <si>
    <t>An Antarctic Circumpolar Wave (ACW) is simulated by a global coupled ocean-atmosphere model. Time-longitude diagrams of anomalies in sea-surface temperature (SST) and sea-surface salinity (SSS) show that anomalies propagate eastward, taking 20-30 years to encircle the pole. The time taken is 2-3 times longer than indicated by observations, due to the relatively slow speed of the modelled Antarctic Circumpolar Current (ACC). High-SSS anomalies correspond to high-SST anomalies and high-density anomalies, and thus to low sea-surface height anomalies, indicating that salinity is a dominant factor for dynamics within the Southern Ocean and is indispensable for understanding the mechanism of the ACW Sea-ice formation is suppressed southward of warm, saline surface-water regions. High sea-ice concentration anomalies correspond to thick sea-ice anomalies. Empirical orthogonal function analyses of SST anomalies for both model and observation show that the dominant mode in the Southern Ocean has a spatial pattern closely related to El Nino activity. Sea-level pressure (SLP) anomalies propagate eastward with the ACW High SLP anomalies in the atmosphere correspond to low-density anomalies in the ocean. The ACC has clockwise geostrophic velocity anomalies over high-density anomaly regions with upwelling. Both heat and salt are transported from the deep layer to the surface layer by upwelling. This could suppress sea-ice formation directly. Anomalous horizontal advection of heat and salt by geostrophic velocity anomalies in the ACC appears to influence the anomalies in SST, SSS and sea ice.</t>
  </si>
  <si>
    <t>JMA, Meteorol Res Inst, Tsukuba, Ibaraki 305, Japan</t>
  </si>
  <si>
    <t>Meteorological Research Institute - Japan</t>
  </si>
  <si>
    <t>Motoi, T (corresponding author), JMA, Meteorol Res Inst, Nagamine 1-1, Tsukuba, Ibaraki 305, Japan.</t>
  </si>
  <si>
    <t>Kitoh, Akio/F-1765-2010; Kitoh, Akio/HZH-3587-2023</t>
  </si>
  <si>
    <t>WOS:000079713100081</t>
  </si>
  <si>
    <t>Genthon, C; Krinner, G; Déqué, M</t>
  </si>
  <si>
    <t>Intra-annual variability of Antarctic precipitation from weather forecasts and high-resolution climate models</t>
  </si>
  <si>
    <t>GENERAL-CIRCULATION MODEL</t>
  </si>
  <si>
    <t>The intra-annual variability of Antarctic precipitation from the European Centre for Medium-range Weather Forecasts short-term meteorological forecasts and from climate simulations by the ARPEGE and LMD-Zoom general circulation models is presented and discussed. The spatial resolution of forecasts and simulations is high over the Antarctic region, about 100 km, so that the impact of topography and small-scale atmospheric dynamics are better resolved than with mc,re conventional model grids (about 300 km). All the models and forecasts show that the seasonality of precipitation is spatially very variable. Meridional coast-to-interior contrasts are marked, but equally strong variations are unexpectedly found where more homogeneity might be expected because of the homogeneity of the environment, e.g. on the high Antarctic plateau. Neither the forecasts nor the simulations confirm that precipitation is mostly maximum in winter over much of East Antarctica as suggested by scarce and potentially unreliable observations (Bromwich, 1988). Spring and fall maxima are quite frequent too, though summer maxima are rare. Daily precipitation statistics show more spatial pattern, with increasingly infrequent precipitation as distance from the coast toward the interior of the ice sheet increases. Several aspects of the intra-annual variability of precipitation can be interpreted in terms of atmospheric dynamics, but at both daily and seasonal time-scales the different forecasts and climate simulations often locally and regionally disagree with each other. Discrimination between models and their ability to reproduce the dynamics of Antarctic hydrology and progress on simulating such aspects of the Antarctic climate, is limited by the lack of reliable observation of precipitation variability.</t>
  </si>
  <si>
    <t>CNRS, Lab Glaciol &amp; Geophys Environm, F-38402 St Martin Dheres, France; Meteo France, Ctr Natl Rech Meteorol, F-31057 Toulouse, France</t>
  </si>
  <si>
    <t>Centre National de la Recherche Scientifique (CNRS); Meteo France</t>
  </si>
  <si>
    <t>Genthon, C (corresponding author), CNRS, Lab Glaciol &amp; Geophys Environm, F-38402 St Martin Dheres, France.</t>
  </si>
  <si>
    <t>Krinner, Gerhard/AAB-8837-2022; Krinner, Gerhard/A-6450-2011</t>
  </si>
  <si>
    <t>Krinner, Gerhard/0000-0002-2959-5920;</t>
  </si>
  <si>
    <t>WOS:000079713100082</t>
  </si>
  <si>
    <t>Wolff, JO</t>
  </si>
  <si>
    <t>Antarctic sea-ice simulations with a coupled ocean/sea-ice model on a telescoped grid</t>
  </si>
  <si>
    <t>WINTER MIXED LAYER</t>
  </si>
  <si>
    <t>Results from a century-long integration of a coupled ocean/sea-ice model covering the Southern Hemisphere are discussed. The model has a refined grid in a 60 degrees sector south of Australia and is driven by climatological atmospheric variables. The ocean/sea-ice system evolves into a thermal-mode behaviour, i.e, strong vertical mixing produces a well-mixed, weakly stratified upper ocean in the sea-ice zone, resulting in a thin ice cover with multiple polynyas in southern winter. The time evolution of total ice area, however, is close to estimates from satellite observations. The relative extrema of total sea-ice area are somewhat underestimated.</t>
  </si>
  <si>
    <t>Wolff, JO (corresponding author), Antarctic CRC, Box 252-80, Hobart, Tas 7001, Australia.</t>
  </si>
  <si>
    <t>Wolff, Joerg-Olaf/F-8248-2010</t>
  </si>
  <si>
    <t>Wolff, Joerg-Olaf/0000-0001-7037-7688</t>
  </si>
  <si>
    <t>WOS:000079713100083</t>
  </si>
  <si>
    <t>Wolff, JO; Bye, JAT</t>
  </si>
  <si>
    <t>Drift patterns in an Antarctic channel from a quasi--geostrophic model with surface friction</t>
  </si>
  <si>
    <t>The surface layer of the Southern Ocean is subject to the action of wind, waves and currents. We present solutions from a fine-resolution quasi-geostrophic model with surface friction, which is driven by a specified mean and fluctuating wind field, and predicts the surface current, and also the surface Stokes drift due to the wavefield. The resulting flow patterns control the dispersion of particles at the sea surface, and, using a proven Lagrangian algorithm, batches of particles of specified draught can be injected into the flow at various locations and tracked. The simulated patterns are compared with historical data on dispersion and with drift-card and satellite-drogue studies in the Southern Ocean, iceberg tracking and other studies to show the relative importance of dispersion by synoptic variability in the atmosphere and mesoscale eddies in the ocean.</t>
  </si>
  <si>
    <t>Antarctic CRC, Hobart, Tas 7001, Australia; Flinders Univ S Australia, Sch Earth Sci, Adelaide, SA 5001, Australia</t>
  </si>
  <si>
    <t>Flinders University South Australia</t>
  </si>
  <si>
    <t>WOS:000079713100084</t>
  </si>
  <si>
    <t>van Lipzig, NPM; van Meijgaard, E; Oerlemans, J</t>
  </si>
  <si>
    <t>Evaluation of a regional atmospheric model for January 1993, using in situ measurements from the Antarctic</t>
  </si>
  <si>
    <t>GENERAL-CIRCULATION MODELS; HIGH SOUTHERN LATITUDES; CLIMATE MODEL; MASS-BALANCE; PARAMETERIZATION; PREDICTION; SCHEME; AREA</t>
  </si>
  <si>
    <t>The performance of a regional atmospheric climate model (RACMO) with a horizontal resolution of 55 km x 55 km is evaluated using measured temperature and humidity profiles. Parameterisations of the physical processes are taken from the ECHAM4 general circulation model (GCM). Sea-surface temperatures and sea-ice mask in the model are prescribed from observations. The model is forced by re-analyses of the European Centre for Medium-range Weather Forecasts (ECMWF) at the lateral boundaries. We compared simulations for January 1993 with boundary-layer profiles measured at the Swedish research station Svea (Dronning Maud Land, Antarctica) and with radiosonde measurements made at the Georg von Neumayer (GvN) and South Polar stations for the same period. This comparison was performed in order to study some model characteristics before the model is used for mass-balance calculations. The vertical temperature gradient at Svea during the night is overestimated by RACMO, but corresponds much more closely to the observations than do the ECMWF re-analyses. In the re-analyses a decoupling of the lowest model layer from the higher atmosphere occurs. The differences between the absolute temperatures at the GUN and SP stations and the absolute temperatures at the model gridpoints corresponding most closely to these sites are less than 5 degrees C. The humidity profiles indicate that the model generally underestimates the turbulent transport of moisture from the surface to higher levels.</t>
  </si>
  <si>
    <t>Royal Netherlands Meteorol Inst, NL-3730 AE De Bilt, Netherlands; Inst Marine &amp; Atmospher Res Unit, NL-3508 TA Utrecht, Netherlands</t>
  </si>
  <si>
    <t>Royal Netherlands Meteorological Institute</t>
  </si>
  <si>
    <t>van Lipzig, NPM (corresponding author), Royal Netherlands Meteorol Inst, POB 201, NL-3730 AE De Bilt, Netherlands.</t>
  </si>
  <si>
    <t>Oerlemans, Johannes/G-3802-2011; van Lipzig, Nicole/ABF-2964-2021</t>
  </si>
  <si>
    <t>van Lipzig, Nicole/0000-0003-2899-4046</t>
  </si>
  <si>
    <t>WOS:000079713100085</t>
  </si>
  <si>
    <t>Allison, I</t>
  </si>
  <si>
    <t>Surface climate of the interior of the Lambert Glacier basin, Antarctica, from automatic weather station data</t>
  </si>
  <si>
    <t>Data from six automatic weather stations deployed around the interior of the Lambert Glacier basin, Antarctica, at surface elevations of 1830-2741 m are used to compile a surface climatology of this part of interior Antarctica for the period 1994-96. The stations measure air pressure, near-surface wind speed and air temperature at several levels, wind direction and firn temperatures. The topography of the basin, which extends more than 800 km inland, controls the katabatic wind regime and strongly influences the surface climate of the region. Windiest sites are on the steep coastal slopes, and within the depression of the Lambert and Mellor Ice Streams where the flow is topographically channelled. Surface winds here show greater seasonal variation in speed but less variation in direction than elsewhere. The annual mean temperatures on the relatively steep slopes on the eastern side of the basin are 4-5 degrees C warmer than at equivalent altitude on the western side. During winter, near-synchronous synoptic temperature and pressure increases occur throughout the basin to at least 1000 km from the coast. There is a consistent pattern of diurnal wind variation in the summer at all stations, with maximum wind speed at about 0900 LST (local solar time), and the most easterly direction at 1300 LST.</t>
  </si>
  <si>
    <t>Allison, I (corresponding author), Antarctic CRC, Box 252-80, Hobart, Tas 7001, Australia.</t>
  </si>
  <si>
    <t>WOS:000079713100086</t>
  </si>
  <si>
    <t>Bromwich, DH; Chen, B; Hines, KM; Cullather, RI</t>
  </si>
  <si>
    <t>Global atmospheric responses to Antarctic forcing</t>
  </si>
  <si>
    <t>SEA-ICE; SOUTHERN OSCILLATION; CLIMATE-CHANGE; OCEAN; CIRCULATION; VARIABILITY; SENSITIVITY; LEADS; MODEL; JET</t>
  </si>
  <si>
    <t>To evaluate the greatest impact that sea-ice anomalies around Antarctica could have on the global atmosphere, 15 year seasonal cycle simulations are conducted with the U.S. National Center for Atmospheric Research Community Climate Model version 2.1. Sensitivity simulations are performed with the following conditions: (1) all sea ice in the Southern Hemisphere is replaced by year-round open water, but the permanent ice shelves are retained (NSIS); and (2) all sea ice in the Southern Hemisphere and the major ice shelves are removed and replaced by open water (NISH). The results are compared to a standard run (CNT) with boundary conditions set for the present climate. The comparison shows chat trains of positive and negative anomalies in zonal-mean fields extend into the tropical latitudes of the Northern Hemisphere. Anomalies are largest during April-October. The additional removal of the ice shelves in NISH enhances the response, as zonally averaged anomalies are similar in pattern to those in NSIS but are roughly twice as large poleward of 50 degrees S, and only slightly larger farther north. Anomalies in the eddy fields are found in both hemispheres. In NISH, and to a lesser degree in NSIS, these anomalies appear to be related to a delayed northern advance over China during June of the rain front associated with the summer monsoon. Consequently, precipitation is enhanced in middle and southern China and decreased in northern China. Observational analyses have also found links between Antarctic sea-ice variations and modulations of the East Asian monsoon.</t>
  </si>
  <si>
    <t>Ohio State Univ, Polar Meteorol Grp, Byrd Polar Res Ctr, Columbus, OH 43210 USA; Ohio State Univ, Dept Geog, Atmospher Sci Program, Columbus, OH 43210 USA</t>
  </si>
  <si>
    <t>Bromwich, DH (corresponding author), Ohio State Univ, Polar Meteorol Grp, Byrd Polar Res Ctr, Columbus, OH 43210 USA.</t>
  </si>
  <si>
    <t>WOS:000079713100087</t>
  </si>
  <si>
    <t>Takahashi, S; Kameda, T; Enomoto, H; Shiraiwa, T; Kodama, Y; Fujita, S; Motoyama, H; Watanabe, O; Weidner, GA; Stearns, CR</t>
  </si>
  <si>
    <t>Automatic weather station program during Dome Fuji Project by JARE in east Dronning Maud Land, Antarctica</t>
  </si>
  <si>
    <t>The Japanese Antarctic Research Expedition (JARE) has set up automatic weather stations at sis sites on a 1000 km long traverse route between Syowa station (21 m a.s.l.) and Dome Fuji station (3810 m a.s.l.) since 1993. Large temperature rises in winter were observed several times in this area. There were two patterns of time delay of the temperature rises. One was that the temperature rise at Mizuho station preceeded that at other stations, and the other was that the temperature rise at Dome Fuji station preceded the others. The former occurred when a disturbance came from the coast between east Enderby Land and the Amery Ice Shelf and strong winds destroyed the stable inversion laver, The latter occurred when the low-pressure center was near the coast of west Wilkes Land. In this case, temperature rise was caused by advection of warm air. The atmospheric pressure at Dome Fuji station and Relay Point oscillated with a period of 0.5 year and amplitude of about 15 hPa. The pressure was higher in July and December, and was accompanied by a temperature rise. Fluctuations of hourly air temperature at Dome Fuji station were approximately twice as large as fluctuations at the other sites. The lapse rate of the annual mean temperature increased with elevation, while the monthly lapse rate was largest in April.</t>
  </si>
  <si>
    <t>Kitami Inst Technol, Kitami, Hokkaido 090, Japan; Hokkaido Univ, Inst Low Temp Sci, Sapporo, Hokkaido 060, Japan; Hokkaido Univ, Fac Engn, Sapporo, Hokkaido 060, Japan; Natl Inst Polar Res, Itabashi Ku, Tokyo 173, Japan; Univ Wisconsin, Dept Atmospher &amp; Ocean Sci, Madison, WI 53706 USA</t>
  </si>
  <si>
    <t>Kitami Institute of Technology; Hokkaido University; Hokkaido University; Research Organization of Information &amp; Systems (ROIS); National Institute of Polar Research (NIPR) - Japan; University of Wisconsin System; University of Wisconsin Madison</t>
  </si>
  <si>
    <t>Takahashi, S (corresponding author), Kitami Inst Technol, Koen Cho, Kitami, Hokkaido 090, Japan.</t>
  </si>
  <si>
    <t>Shiraiwa, Takayuki/E-2000-2012; Fujita, Shuji/A-7884-2016</t>
  </si>
  <si>
    <t>Takahashi, Shuhei/0000-0003-2303-8928; Fujita, Shuji/0000-0003-0127-0777</t>
  </si>
  <si>
    <t>WOS:000079713100088</t>
  </si>
  <si>
    <t>Udisti, R; Traversi, R; Becagli, S; Piccardi, G</t>
  </si>
  <si>
    <t>Spatial distribution and seasonal pattern of biogenic sulphur compounds in snow from northern Victoria Land, Antarctica</t>
  </si>
  <si>
    <t>SEA-SALT SULFATE; NOVA BAY ANTARCTICA; MARINE PRECIPITATION; CHEMICAL-COMPOSITION; DIMETHYL SULFIDE; PACIFIC-OCEAN; ICE SHELF; METHANESULFONATE; AEROSOL; SULFUR</t>
  </si>
  <si>
    <t>A study of the spatial and temporal distribution of methane sulphonic acid (MSA) and nssSO(4)(2-) concentrations in snow-pit samples was performed to determine the main and secondary sources, transport effects and seasonal pattern of biogenic sulphur compounds. Four snow pits, about 3 m deep, excavated at the same time at different altitudes (870-2960 m a.s.l.) in northern Victoria Land, Antarctica, gave coherent information about the effect of altitude and seasonality on the snow chemical composition. A progressive, well-defined decreasing concentration trend is shown as altitude increases, with the biggest effect in the first 1000 m a.s.l. At higher altitudes, biogenic sources make the most important contribution to the total sulphate balance with respect to sea-spray input. Particular attention was paid to the relationship between MSA and nssSO(4)(2-) by using MSA as a univocal biogenic marker. The nssSO(4)(2-)/MSA ratio was evaluated with respect to altitude and seasonality to determine the effect of transport mechanisms (such as long-range transport and fractionation) or non-dimethyl sulphide sources on nssSO(4)(2-) snow content.</t>
  </si>
  <si>
    <t>WOS:000079713100089</t>
  </si>
  <si>
    <t>Weller, G</t>
  </si>
  <si>
    <t>Regional impacts of climate change in the Arctic and Antarctic</t>
  </si>
  <si>
    <t>AIR-TEMPERATURE; ICE; GREENLAND; MODEL</t>
  </si>
  <si>
    <t>Regional assessments of impacts due to global climate change are a high priority in the international programs on global-change research. Ill the polar regions, climate models indicate an amplification of global greenhouse warming, but there are large differences between the results of various models, and uncertainties about the magnitude and timing of the expected changes. Also, the observed high-latitude climate trends over the past few decades are much more regional and patchy than predicted by the models. As a first step in assessing possible climate impacts, model results are compared with observations of changes in temperature, precipitation, sea-ice extent, the permafrost regime and other cryospheric parameters. While considerable uncertainties remain in the long-term prediction of change, there is some agreement between model results and observed trends by season on shorter time-scales. The warming observed over the land masses of the Arctic over the past few decades is matched by corresponding observed decreases in snow cover and glacier mass balances, by thawing of the permafrost: and to a lesser degree by reductions in sea-ice extent. In Antarctica, warming in the Antarctic Peninsula and Ross Sea regions is associated with large decreases in ice-shelf areas and reduced ice thicknesses on the lakes in the McMurdo Dry Valleys. Major future impacts due to global greenhouse warming are likely to include permafrost thawing on land and its consequences for ecosystems and humans: changes in the productivity of marine ecosystems in the Arctic and Southern Ocean; economic impacts on fisheries; petroleum and other human activities; and social impacts on northern indigenous populations. Some of these impacts will have positive ramifications, but most are likely to be detrimental. While uncertainties exist about the future, climate change in the polar regions during the past few decades can he shown to have had major impacts already which will become much more pronounced if present trends continue.</t>
  </si>
  <si>
    <t>Univ Alaska, Ctr Global Change &amp; Arctic Syst Res, Fairbanks, AK 99775 USA</t>
  </si>
  <si>
    <t>Weller, G (corresponding author), Univ Alaska, Ctr Global Change &amp; Arctic Syst Res, Fairbanks, AK 99775 USA.</t>
  </si>
  <si>
    <t>WOS:000079713100090</t>
  </si>
  <si>
    <t>Jacka, TH; Budd, WF</t>
  </si>
  <si>
    <t>Detection of temperature and sea-ice-extent changes in the Antarctic and Southern Ocean, 1949-96</t>
  </si>
  <si>
    <t>PINATUBO</t>
  </si>
  <si>
    <t>Surface temperature data for the occupied Antarctic stations (for the period 1959-96) and Southern Ocean island stations (1949-96), and sea-ice-extent data (1973-96) are analyzed to provide trends over the indicated time intervals. The mean trend (mean slope of linear regressions through the annual mean station data) for the Antarctic stations indicates a warming of 1.2 degrees C (100 a)(-1). The slope of the linear regression fit to a composite of the mean station anomaly data indicates a warming rate of 0.9 degrees C (100 a)(-1) For the Southern Ocean island station data, warming rates of 1.0 degrees and 0.7 degrees C (100 a)(-1) are indicated by the two methods. For the sea-ice data, no significant trend is detectable over the satellite era, 1973-96, but for the longer period commencing in the mid-1940s there is some evidence of a decrease in sea-ice extent from whaling records recently published.</t>
  </si>
  <si>
    <t>Jacka, TH (corresponding author), Antarctic CRC, Box 252-80, Hobart, Tas 7001, Australia.</t>
  </si>
  <si>
    <t>WOS:000079713100091</t>
  </si>
  <si>
    <t>Correia, A; Artaxo, P; Maenhaut, W</t>
  </si>
  <si>
    <t>Monitoring of atmospheric aerosol particles on the Antarctic Peninsula</t>
  </si>
  <si>
    <t>TRACE-ELEMENTS; SULFUR; SULFATE</t>
  </si>
  <si>
    <t>Atmospheric aerosol particles have been sampled since 1985 at the Brazilian Antarctic station, Comandante Ferraz (62 degrees 05' S, 58 degrees 23.5' W). Stacked filter units were used to collect particles with an aerodynamic diameter of less than 10 mu m. The elemental concentration Was measured by particle-induced X-ray emission, yielding data for 23 elements: Na, Mg, Al, Si, P, S, Cl, K, Ca, Ti, V, Cr, Mn, Fe, Ni, Cu, Zn, Se, Br, Rb, Sr, Zr and Pb. The detection limit was typically near 5 ng m(-3) for elements with atomic number (Z) less than 20, and 0.1 ng m(-3) for 21 &lt; Z &lt; 30. Principal-factor and cluster analyses identified four sources for the Antarctic aerosol: fine and coarse sea salt, soil dust and sulphates. The fine-mode non-sea-salt sulphate concentration showed a clear seasonal pattern accompanying the biological cycle of algae, with minimum during winter. Some elements. such as Ni and Pb, showed very high enriched concentrations relative to the bulk sea-water composition. This indicates the existence of sources of regional or long-range transported pollution.</t>
  </si>
  <si>
    <t>Univ Sao Paulo, GEPA, Inst Phys, BR-05508900 Sao Paulo, Brazil; State Univ Ghent, Inst Sci Nucl, B-9000 Ghent, Belgium</t>
  </si>
  <si>
    <t>Universidade de Sao Paulo; Ghent University</t>
  </si>
  <si>
    <t>Correia, A (corresponding author), Univ Sao Paulo, GEPA, Inst Phys, Rua Matao,Travessa R187, BR-05508900 Sao Paulo, Brazil.</t>
  </si>
  <si>
    <t>Artaxo, Paulo/E-8874-2010; Maenhaut, Willy/M-3091-2013</t>
  </si>
  <si>
    <t>Artaxo, Paulo/0000-0001-7754-3036; Maenhaut, Willy/0000-0002-4715-4627</t>
  </si>
  <si>
    <t>WOS:000079713100092</t>
  </si>
  <si>
    <t>Connolley, WM; O'Farrell, SP</t>
  </si>
  <si>
    <t>Comparison of warming trends over the last century around Antarctica from three coupled models</t>
  </si>
  <si>
    <t>CLIMATE-CHANGE; VARIABILITY; CIRCULATION; TEMPERATURE; GCM</t>
  </si>
  <si>
    <t>We compare observed temperature variations in Antarctica with climate-model runs over the last century. The models used are three coupled global climate models (GCMs) - the UKMO, the CSIRO and the MPI - forced by the CO2 increases observed over the last century and an atmospheric model experiment forced with observed sea-surface temperatures and sea-ice extents over the last century. Despite some regions of agreement, in general the GCM runs appear to be incompatible with each other and with the observations, although the short observational record and high natural variability make verification difficult. One of the best places for a more detailed study is the Antarctic Peninsula where the density of stations is higher and station records are longer than elsewhere in Antarctica. Observations show that this area has seen larger temperature rises than anywhere else in Antarctica. None of the three GCMs simulate such large temperature changes in the Peninsula region, in either climate-change runs radiatively forced by CO2 increases or control runs which assess the level of model variability.</t>
  </si>
  <si>
    <t>British Antarctic Survey, Nat Environm Res Council, Cambridge CB3 0ET, England; CSIRO, Div Atmospher Res, Aspendale, Vic 3195, Australia</t>
  </si>
  <si>
    <t>UK Research &amp; Innovation (UKRI); Natural Environment Research Council (NERC); NERC British Antarctic Survey; Commonwealth Scientific &amp; Industrial Research Organisation (CSIRO)</t>
  </si>
  <si>
    <t>Connolley, WM (corresponding author), British Antarctic Survey, Nat Environm Res Council, High Cross,Madingley Rd, Cambridge CB3 0ET, England.</t>
  </si>
  <si>
    <t>WOS:000079713100093</t>
  </si>
  <si>
    <t>King, JC; Harangozo, SA</t>
  </si>
  <si>
    <t>Climate change in the western Antarctic Peninsula since 1945: observations and possible causes</t>
  </si>
  <si>
    <t>ANNUAL CYCLE; VARIABILITY; TEMPERATURE; PRECIPITATION; CIRCULATION</t>
  </si>
  <si>
    <t>Temperature records from stations on the west coast of the Antarctic Peninsula show a very high level of interannual variability and, over the last 50 years, larger warming trends than are seen elsewhere in Antarctica. In this paper we investigate the role of atmospheric circulation variability and sea-ice extent variations in driving these changes. Owing to a lack of independent data, the reliability of Antarctic atmospheric analyses produced in the 1950s and 1960s cannot be readily established, but examination of the available data suggests that there has been an increase in the northerly component of the circulation over the Peninsula since the late 1950s. Few observations of sea-ice extent are available prior to 1973, but the limited data available indicate that the ice edge to the west of the Peninsula lay to the north of recently observed extremes during the very cold conditions prevailing in the late 1950s. The ultimate cause of the atmospheric-circulation changes remains to be determined and may lie outside the Antarctic region.</t>
  </si>
  <si>
    <t>King, JC (corresponding author), British Antarctic Survey, NERC, Madingley Rd, Cambridge CB3 0ET, England.</t>
  </si>
  <si>
    <t>WOS:000079713100094</t>
  </si>
  <si>
    <t>O'Farrell, SP; Connolley, WM</t>
  </si>
  <si>
    <t>Comparison of warming trends predicted over the next century around Antarctica from two coupled models</t>
  </si>
  <si>
    <t>CLIMATE VARIABILITY; SEA-ICE; PENINSULA</t>
  </si>
  <si>
    <t>This paper investigates the climate change in two atmospheric re ice-ocean coupled climate models - the UKMO and the CSIRO in the Antarctic region over the next century. The objectives were to see if an enhanced level of greenhouse-gas forcing results in a surface temperature signal above background variability, and to see if this pattern of change resembles the change seen to date in Antarctica, especially the warming around the Peninsula. The models show that although reduced sea-ice compactness is responsible for regions of enhanced air-temperature anomalies, these icc-compactness anomalies are determined by different mechanisms in the respective models. The pattern of warming in both models does not match the differential rates of warming seen in the observations of temperature change over the Antarctic continent in the last few decades. Also the level of background ocean variability in the Drake Passage and Weddell Sea region hampers the clear definition of a signal over the Antarctic Peninsula in the coupled models. although no winter enhancement in warming over the Peninsula region is found, an autumn anomaly is seen in one of the models. The mechanism for this feature is documented, and an explanation of why it does not persist throughout the winter season is presented.</t>
  </si>
  <si>
    <t>CSIRO, Div Atmospher Res, Aspendale, Vic 3195, Australia; British Antarctic Survey, NERC, Cambridge CB3 0ET, England</t>
  </si>
  <si>
    <t>Commonwealth Scientific &amp; Industrial Research Organisation (CSIRO); UK Research &amp; Innovation (UKRI); Natural Environment Research Council (NERC); NERC British Antarctic Survey</t>
  </si>
  <si>
    <t>O'Farrell, SP (corresponding author), CSIRO, Div Atmospher Res, Private Bag 1, Aspendale, Vic 3195, Australia.</t>
  </si>
  <si>
    <t>WOS:000079713100095</t>
  </si>
  <si>
    <t>Zwally, HJ; Giovinetto, M; Craven, M; Morgan, V; Goodwin, I</t>
  </si>
  <si>
    <t>Areal distribution of the oxygen-isotope ratio in Antarctica: comparison of results based on field and remotely sensed data</t>
  </si>
  <si>
    <t>ICE SHEETS; TEMPERATURE; ACCUMULATION; OCEAN; LAND</t>
  </si>
  <si>
    <t>An updated compilation of oxygen-isotope ratio data for 562 sites in Antarctica shows a significant increase in the number of sites and an improvement in the representation of the coastal zone over previous versions. The data base consists of ratio values (delta(18)O; multi-year mean (18)O/(16)O relative to Standard Mean Ocean Water, in parts per thousand) compiled as the dependent variable, together with data for the so-called independent variables: latitude, surface elevation, mean annual surface temperature and mean annual shortest distance to open ocean denoted by the 20% sea-ice concentration boundary. The problem of covariation between so-called independent variables is minimized using stepwise regression analyses. A general model is described using all the field data, and the regional variation at drainage-system scale is assessed by contrasting models for two physiographically distinct regions. In addition, entity-specific models are determined using data subsets for the conterminous grounded-ice and ice-shelf areas. Inversions of the specific models are applied to a 100 km grid data base to produce two contoured distributions of the ratio, one based on field data, and the other on remotely sensed data. The difference between these produces residuals that, relative to the summation of standard errors of the models, are small in most of the interior area of the ice sheet, and large in several areas of mountain and coastal regions, where interpolation and extrapolation of field data are particularly unreliable. Remotely sensed data generally produce ratio values which are isotopically cooler.</t>
  </si>
  <si>
    <t>NASA, Goddard Space Flight Ctr, Greenbelt, MD 20771 USA; Univ Calgary, Calgary, AB T2N 1N4, Canada; Antarctic CRC, Hobart, Tas 7001, Australia; Australian Antarctic Div, Hobart, Tas 7001, Australia; SCAR, GLOCHANT Project Off, Hobart, Tas 7001, Australia</t>
  </si>
  <si>
    <t>National Aeronautics &amp; Space Administration (NASA); NASA Goddard Space Flight Center; University of Calgary; Australian Antarctic Division</t>
  </si>
  <si>
    <t>Zwally, HJ (corresponding author), NASA, Goddard Space Flight Ctr, Code 971, Greenbelt, MD 20771 USA.</t>
  </si>
  <si>
    <t>Goodwin, Ian/0000-0001-8682-6409</t>
  </si>
  <si>
    <t>WOS:000079713100096</t>
  </si>
  <si>
    <t>Turner, J; Leonard, S; Lachlan-Cope, T; Marshall, GJ</t>
  </si>
  <si>
    <t>Understanding Antarctic Peninsula precipitation distribution and variability using a numerical weather prediction model</t>
  </si>
  <si>
    <t>SOUTHERN OSCILLATION</t>
  </si>
  <si>
    <t>Daily precipitation fields and annual means from the European Centre for Medium-range Weather Forecasts re-analysis exercise are used to examine the distribution and variability of precipitation across the Antarctic Peninsula. The annual mean precipitation field from the model agrees well with the available ice-core data and suggests that the maximum accumulation for the area is on the western side of the barrier at about the 200 m level where the annual total is close to 1.3 m we. The Peninsula is shown be a very effective barrier to the zonal movement of precipitating weather systems, which results in quite different atmospheric flow regimes being responsible for significant precipitation events on either side of the divide. Frontal depressions are the primary source of large daily snowfall totals on both sides of the Peninsula. On the southern coast of the Bellingshausen Sea, major snowfall events are often linked to strong northerly flow hen the atmospheric circulation is blocked. Predominantly northerly flow is also responsible for significant snowfall on the Ronne Ice Shelf, which often occurs in association with lee cyclogenesis events to the east of the Peninsula.</t>
  </si>
  <si>
    <t>Turner, J (corresponding author), British Antarctic Survey, NERC, Madingley Rd, High Cross, Cambridge CB3 0ET, England.</t>
  </si>
  <si>
    <t>WOS:000079713100097</t>
  </si>
  <si>
    <t>Konishi, H; Wada, M; Endoh, T</t>
  </si>
  <si>
    <t>Seasonal variations of cloud and precipitation at Syowa station, Antarctica</t>
  </si>
  <si>
    <t>SOUTHERN-HEMISPHERE; SEA-LEVEL</t>
  </si>
  <si>
    <t>Long-term observations of precipitating clouds were carried out by a vertical pointing radar and plan-position indicator (PPI) radar at Syowa station (69.0 degrees S, 40.5 degrees E), Antarctica, in 1989. The observations revealed that there were three abundant snowfall seasons at Syowa station and the amount of snowfall was uniform in all seasons except summer. The amounts of precipitation in autumn, winter and spring were 74, 74 and 53 mm (liquid water equivalent), respectively. The amounts of precipitation in autumn and winter were large at Syowa station in 1989. However, the amount of precipitation on the inland ice is expected to be small in winter, indicated by the distributions of precipitation measured by the PPI radar. The occurrence frequencies of cloud vortices which brought snowfall to Syowa station increased in the autumn and spring seasons, corresponding to the activity of the circumpolar trough. However, the activities of cloud systems that bring precipitation weaken in spring when the sea-ice area expands to low latitudes, because of a lower supply of heat and vapor. Thus the activities of cloud vortices are also weakened above the sea ice.</t>
  </si>
  <si>
    <t>Osaka Kyoiku Univ, Osaka 582, Japan; Natl Inst Polar Res, Itabashi Ku, Tokyo 173, Japan; Hokkaido Univ, Inst Low Temp Sci, Sapporo, Hokkaido 060, Japan</t>
  </si>
  <si>
    <t>Osaka University of Education; Research Organization of Information &amp; Systems (ROIS); National Institute of Polar Research (NIPR) - Japan; Hokkaido University</t>
  </si>
  <si>
    <t>Konishi, H (corresponding author), Osaka Kyoiku Univ, 4-698-1 Asahigaoka, Osaka 582, Japan.</t>
  </si>
  <si>
    <t>WOS:000079713100098</t>
  </si>
  <si>
    <t>Lewis, KJ; Fountain, AG; Dana, GL</t>
  </si>
  <si>
    <t>Surface energy balance and meltwater production for a Dry Valley glacier, Taylor valley, Antarctica</t>
  </si>
  <si>
    <t>ICE</t>
  </si>
  <si>
    <t>The surface energy balance was calculated to estimate sublimation and melt on the surface and terminus of Canada Glacier, Taylor Valley, Antarctica, during the 1994-95 and 1995-96 austral summers. Our results indicate that sublimation accounted for roughly 80% of the observed 1994-95 summer ablation and 40% of the observed 1995-96 summer ablation on the surface of the glacier. Sublimation on the terminus cliffs appears to be less significant than sublimation on the glacier surface, probably accounting for at most 10-15% of the measured ablation. Based on these results, both surface and terminus cliff melt were calculated and compared with gauged flow in the glacial streams. We found that while the terminus cliffs represent only 2% of the total ablation zone, they account for 10-40% of the total meltwater runoff. Given our current instrumentation, we can estimate meltwater discharge from the glacier with an accuracy of +/-20%.</t>
  </si>
  <si>
    <t>Univ Colorado, Inst Arctic &amp; Alpine Res, Boulder, CO 80309 USA; Portland State Univ, Dept Geol, Portland, OR 97207 USA; Univ Nevada, Desert Res Inst, Reno, NV 89506 USA</t>
  </si>
  <si>
    <t>University of Colorado System; University of Colorado Boulder; Portland State University; Nevada System of Higher Education (NSHE); Desert Research Institute NSHE; University of Nevada Reno</t>
  </si>
  <si>
    <t>Lewis, KJ (corresponding author), Univ Colorado, Inst Arctic &amp; Alpine Res, Boulder, CO 80309 USA.</t>
  </si>
  <si>
    <t>WOS:000079713100099</t>
  </si>
  <si>
    <t>Marshall, GJ; Turner, J; Miners, WD</t>
  </si>
  <si>
    <t>Interpreting recent accumulation records through an understanding of the regional synoptic climatology: an example from the southern Antarctic Peninsula</t>
  </si>
  <si>
    <t>TRACKING CYCLONE CENTERS; SEA-ICE; METHANESULFONIC-ACID; NUMERICAL SCHEME; DIGITAL DATA; EL-NINO; CORES; PRECIPITATION; HEMISPHERE</t>
  </si>
  <si>
    <t>In this study we correlate temporal features within the electrical conductivity (acidity) traces of four shallow firn cores obtained from the southern Antarctic Peninsula to synoptic-scale variations in the regional climate, as depicted by a numerical weather prediction model. It is demonstrated that the three high-acidity features present within the 1992-93 accumulation correspond to periods of significant precipitation, a hypothesis supported by the association of these events with strong onshore winds, ideal for transporting the biogenically derived sources of precipitation acidity to the core sites. The longitudinal location of depressions within the Bellingshausen Sea is shown to be the principal factor governing the volume of precipitation that they give over the western Peninsula. Annual accumulation in the model is similar to 25% lower than revealed by the cores: although there are too many uncertainties to provide a definite reason for the deviation, the smoothed model orography and inaccurate land-sea mask are believed to be significant factors. It is postulated that the acidity pattern within southern Peninsula cores may reveal an El Nino-Southern Oscillation signal.</t>
  </si>
  <si>
    <t>Marshall, GJ (corresponding author), British Antarctic Survey, NERC, High Cross,Madingley Rd, Cambridge CB3 0ET, England.</t>
  </si>
  <si>
    <t>WOS:000079713100100</t>
  </si>
  <si>
    <t>Simmonds, I; Jones, DA; Walland, DJ</t>
  </si>
  <si>
    <t>Multi-decadal climate variability in the Antarctic region and global change</t>
  </si>
  <si>
    <t>SOUTHERN-HEMISPHERE; SEA-ICE; SEMIANNUAL OSCILLATION; PENINSULA; ASSOCIATIONS; CYCLONES; MODEL</t>
  </si>
  <si>
    <t>The characteristics of, and the mechanisms causing, multi-decadal variability are currently receiving much attention. This undertaking is particularly challenging in the sub-Antarctic region because of the paucity of data, and the complexity of the governing physical processes. In this paper we report on aspects of high-southern-latitude variability which appear in the European Centre for Medium-range Weather Forecasts twice-daily analyses for the period 1 January 1980 to 31 August 1996 and in the results of global climate model experiments. We show that the number of cyclone positions in the 50-70 degrees S latitude band exhibits considerable interannual variability, as well as changes on longer time-scales. The seasonal distribution of cyclones is linked with the semi-annual oscillation. We show that the variability of this phenomenon in a 1000 year run of the GFDL coupled model shows red characteristics (and on decadal time-scales is similar to that displayed in the available observations). The interaction with the ocean and sea ice is stressed as an important factor in determining the nature of climate variability in sub-Antarctic latitudes.</t>
  </si>
  <si>
    <t>Univ Melbourne, Sch Earth Sci, Parkville, Vic 3052, Australia; Bur Meteorol, Natl Climate Ctr, Melbourne, Vic 3001, Australia; Monash Univ, CRC So Hemisphere Meteorol, Clayton, Vic 3168, Australia</t>
  </si>
  <si>
    <t>University of Melbourne; Bureau of Meteorology - Australia; Monash University</t>
  </si>
  <si>
    <t>Simmonds, I (corresponding author), Univ Melbourne, Sch Earth Sci, Parkville, Vic 3052, Australia.</t>
  </si>
  <si>
    <t>WOS:000079713100101</t>
  </si>
  <si>
    <t>Schneider, C</t>
  </si>
  <si>
    <t>Monitoring climate variability on the Antarctic Peninsula by means of observations of the snow cover</t>
  </si>
  <si>
    <t>The glaciers of the Antarctic Peninsula are believed to react rapidly to climatic fluctuations. Thus it is of great interest to find methods for monitoring regional climate variability in this region. Two small glaciers on the Antarctic Peninsula were chosen to monitor the accumulation and ablation pattern of the snow cover in respect to climate variations. During two summer seasons, synthetic aperture radar pulse-repetition interval images from the European ERS-1 active microwave satellite instrument were collected. Simultaneously, micro-meteorological measurements with simple automatic weather stations were carried out at three locations on the glaciers. Energy available for snowmelt was computed using the bulk transfer equations. Incorporating a digital terrain model and a model for shortwave irradiance, estimates of the energy available for melt were then calculated for the entire glaciers. The resulting time series of spatially distributed information on available energy can be used to separate periods and areas with snow-melt from periods and areas with completely frozen snow cover. The same separation can be achieved from the ERS-1 imagery. Integrating both the remote-sensing technique and the ground observations, it may be possible to establish a combined method to monitor the effects of weather patterns on a seasonal basis.</t>
  </si>
  <si>
    <t>Univ Freiburg, Dept Phys Geog, D-79085 Freiburg, Germany</t>
  </si>
  <si>
    <t>University of Freiburg</t>
  </si>
  <si>
    <t>Schneider, C (corresponding author), Univ Freiburg, Dept Phys Geog, Werderring 4, D-79085 Freiburg, Germany.</t>
  </si>
  <si>
    <t>Schneider, Christoph/V-2150-2017</t>
  </si>
  <si>
    <t>Schneider, Christoph/0000-0002-9914-3217</t>
  </si>
  <si>
    <t>WOS:000079713100102</t>
  </si>
  <si>
    <t>Skvarca, P; Rack, W; Rott, H; Donangelo, TIY</t>
  </si>
  <si>
    <t>Evidence of recent climatic warming on the eastern Antarctic Peninsula</t>
  </si>
  <si>
    <t>ICE SHELF</t>
  </si>
  <si>
    <t>Air temperatures at the Marambio (MAR) Esperanza (ESP) and Matienzo (MAT) stations have been analyzed to investigate recent climate change on the eastern part of the Antarctic Peninsula. They are compared with data from the Orcadas station on the South Orkney Islands, the longest retold available in Antarctica, and from the Faraday (FAR) station on the western coast of the Peninsula. Though the interannual variability is comparatively high and the stations are located in different climatic regimes, a pronounced warming trend shows up in all records. At MAR a temperature increase of 1.5 degrees C has been observed since the beginning of thr record in 1971. This is of similar magnitude to the increase at FAR on the west coast, which was 2.5 degrees C for the longer period since 1945. The steady retreat and collapse of the northern Larsen Ice Shelf (LIS) coincided with this warming trend. Of particular importance for the ice-shelf mass balance in this region are the summer temperatures which show a statistically significant warming trend at MAR and ESP. The representativity of the summer temperatures of MAR for northern LIS is confirmed by intercomparison with the parallel measurements at MAT which is located on the ice shelf.</t>
  </si>
  <si>
    <t>Inst Antartico Argentino, RA-1010 Buenos Aires, DF, Argentina; Univ Innsbruck, Inst Meteorol &amp; Geophys, A-6020 Innsbruck, Austria; Serv Meteorol Nacl, Buenos Aires, DF, Argentina</t>
  </si>
  <si>
    <t>Instituto Antartico Argentino; University of Innsbruck</t>
  </si>
  <si>
    <t>Inst Antartico Argentino, Cerrito 1248, RA-1010 Buenos Aires, DF, Argentina.</t>
  </si>
  <si>
    <t>WOS:000079713100103</t>
  </si>
  <si>
    <t>Park, BK; Chang, SK; Yoon, HI; Chung, H</t>
  </si>
  <si>
    <t>Recent retreat of ice cliffs, King George Island, South Shetland Islands, Antarctic Peninsula</t>
  </si>
  <si>
    <t>SHELF</t>
  </si>
  <si>
    <t>Comparison of aerial photos shows that the ice cliff in Marian Cove, Maxwell Bay, southwestern King George Island, retreated approximately 250 m between 1956 and 1986, but advanced about 40 m between December 1986 and January 1989. The advance in the late 1980s seems to be related to the cold austral winters of 1986-88. A topographic survey in January 1994 revealed that the ice cliff in Marian Cove had again retreated around 270 m since January 1989; approximately the same as from December 1956 to December 1986. In Potter Cove, the ice cliff retreated approximately 400 m from 1956-89. The more pronounced retreat here may be attributable to shallower water depths (&lt;30 m). These ice cliffs retreats are discussed as a possible consequence of recent regional warming.</t>
  </si>
  <si>
    <t>Byrd Polar Res Ctr, Seoul 425600, South Korea; Korea Ocean Res &amp; Dev Inst, Seoul 425600, South Korea</t>
  </si>
  <si>
    <t>Korea Institute of Ocean Science &amp; Technology (KIOST)</t>
  </si>
  <si>
    <t>Park, BK (corresponding author), Byrd Polar Res Ctr, Ansan POB 29, Seoul 425600, South Korea.</t>
  </si>
  <si>
    <t>WOS:000079713100104</t>
  </si>
  <si>
    <t>Fox, AJ; Cooper, APR</t>
  </si>
  <si>
    <t>Climate-change indicators from archival aerial photography of the Antarctic Peninsula</t>
  </si>
  <si>
    <t>Aerial photography has been used as a mapping tool in the Antarctic Peninsula region since the late 1920s. Following pioneering work by Wilkins in 1928, Ellsworth in 1934 and the British Graham Land Expedition in 1934-37, the Falkland Islands and Dependencies Aerial Survey Expedition carried out extensive aerial photography during the period 1955-57. Since then, many other aerial surveys have been carried out, and the result is an archive of aerial photography that, for some localities, spans 40 years. The production of maps both from different generations of photographs and satellite images has revealed many changes in the extent of ice cover with time. For example, changes in ice shelves such as the Wordie Ice Shelf, Larsen Ice Shelf and Muller Ice Shelf, are well recorded, and the termini of some glaciers have retreated. However, the most pervasive change is the consistent decline in the extent of small bodies of snow and ice. This paper shows how perennial snow or ice cover has decreased in the northern Marguerite Bay areal at 68 degrees S. The correlation of the change with elevation and with climate records from Adelaide and Rothera research stations in the Antarctic Peninsula region is examined.</t>
  </si>
  <si>
    <t>Fox, AJ (corresponding author), British Antarctic Survey, NERC, Cambridge CB3 0ET, England.</t>
  </si>
  <si>
    <t>WOS:000079713100105</t>
  </si>
  <si>
    <t>Frezzotti, M; Cimbelli, A; Ferrigno, JG</t>
  </si>
  <si>
    <t>Ice-front change and iceberg behaviour along Oates and George V Coasts, Antarctica, 1912-96</t>
  </si>
  <si>
    <t>MASS-BALANCE; ROSS SEA; SHELF; GLACIERS</t>
  </si>
  <si>
    <t>Ice-front change may well be a sensitive indicator of regional climate change. We have studied the western Gates Coast from Cape Kinsey (158 degrees 50' E, 69 degrees 19' S) to Cape Hudson (153 degrees 45' E, 68 degrees 20' S) and the entire George V Coast, from Cape Hudson to Point Alden (142 degrees 02' E, 66 degrees 48' S). The glaciers here drain part of the Dome Charlie and Tales Dome areas (640 000 km(2)). A comparison between various documents, dated several years apart, has allowed an estimate of the surficial ice discharge, the ice-front fluctuation and the iceberg-calving flux during the last 50 years. The ice-front discharge of the studied coast has been estimated at about 90 +/- 12 km(3) a(-1) in 1989-91, 8.5 km(3) a(-1) for western Gates Coast and 82 km(3) a(-1) for George V Coast. From 1962-63 to 1973-74 the floating glaciers underwent a net reduction that continued from 1973-74 to 1989-91. On the other hand, from 1989-91 to 1996 the area of floating glaciers increased. Ninnis Glacier Tongue and the western part of Cook Ice Shelf underwent a significant retreat after 1980 and 1947 respectively. Satellite-image analysis of large icebergs has provided information about ice-ocean interaction and the existence of an iceberg trap along George V Coast. A first estimate of the mass balance of the drainage basin of Mertz and Ninnis Glaciers shows a value close to zero or slightly negative.</t>
  </si>
  <si>
    <t>ENEA, AMB, I-00100 Rome, AD, Italy; US Geol Survey, Natl Ctr 955, Reston, VA 22092 USA</t>
  </si>
  <si>
    <t>Italian National Agency New Technical Energy &amp; Sustainable Economics Development; United States Department of the Interior; United States Geological Survey</t>
  </si>
  <si>
    <t>Frezzotti, M (corresponding author), ENEA, AMB, Cr Casaccia,POB 2400, I-00100 Rome, AD, Italy.</t>
  </si>
  <si>
    <t>FREZZOTTI, Massimo/AAK-7275-2020</t>
  </si>
  <si>
    <t>FREZZOTTI, Massimo/0000-0002-2461-2883</t>
  </si>
  <si>
    <t>WOS:000079713100106</t>
  </si>
  <si>
    <t>Burns, GB; Frank-Kamenetsky, AV; Troshichev, OA; Bering, EA; Papitashvili, VO</t>
  </si>
  <si>
    <t>The geoelectric field: a link between the troposphere and solar variability</t>
  </si>
  <si>
    <t>ATMOSPHERIC DYNAMICS; WEATHER; WIND</t>
  </si>
  <si>
    <t>The association of the European Little Ice Age (1550-1850; Lamb, 1982) with a period of significantly reduced solar activity (Eddy, 1976) suggests a significant mechanism of climate variation remains to be determined. Recent optical observations of connections between the tops of thunderstorm systems and altitudes of 70-90 km (Sentman and Wescott, 1996) demonstrate a linkage between the troposphere and the lower reaches of the ionosphere. If thunderstorm development is affected by its electrical environment, then solar modulation of the geoelectric field provides a viable solar-variability-climate mechanism (see, e.g., Tinsley 1996). The high, dry Antarctic plateau provides an ideal site for demonstrating that solar variability can influence the geoelectric field. In this paper, we present evidence that the geoelectric field at Vostok is modulated by the duskward component of the Interplanetary Magnetic Field (IMF By) when Vostok rotates under the region magnetically linked to the dayside interaction region between the solar wind and the Earth's magnetic field.</t>
  </si>
  <si>
    <t>Australian Antarctic Div, Hobart, Tas 7050, Australia; Arctic &amp; Antarctic Res Inst, St Petersburg 194175, Russia; Univ Houston, Dept Phys, Houston, TX 77204 USA; Univ Michigan, Space Phys Res Lab, Ann Arbor, MI 48109 USA</t>
  </si>
  <si>
    <t>Australian Antarctic Division; Arctic &amp; Antarctic Research Institute; University of Houston System; University of Houston; University of Michigan System; University of Michigan</t>
  </si>
  <si>
    <t>Burns, GB (corresponding author), Australian Antarctic Div, Kingston, Hobart, Tas 7050, Australia.</t>
  </si>
  <si>
    <t>Papitashvili, Vladimir/0000-0001-6955-4894</t>
  </si>
  <si>
    <t>WOS:000079713100107</t>
  </si>
  <si>
    <t>Diepenbroek, M; Fütterer, D; Grobe, H; Miller, H; Reinke, M; Sieger, R</t>
  </si>
  <si>
    <t>PANGAEA information system for glaciological data management</t>
  </si>
  <si>
    <t>Specific parameters determined from continental ice sheet or glacier cores can be used to reconstruct former climate. To use this scientific resource effectively, an information system is needed which guarantees consistent long-term data storage and provides easy access. Such a system, to archive any data of paleoclimatic relevance, together with the related metadata, raw data and evaluated paleoclimatic data, is presented. It is based on a relational database and provides standardized import and export routines, easy access with uniform retrieval functions and tools for visualizing the data. The network is designed as a client-server system, providing access through the Internet with proprietary client software including a high functionality or read-only access to published dat a via the World Wide Web (www.pangaea.de).</t>
  </si>
  <si>
    <t>MARUM, Ctr Marine Environm Sci, D-28334 Bremen, Germany; Alfred Wegener Inst Polar &amp; Marine Res, D-27515 Bremerhaven, Germany</t>
  </si>
  <si>
    <t>University of Bremen; Helmholtz Association; Alfred Wegener Institute, Helmholtz Centre for Polar &amp; Marine Research</t>
  </si>
  <si>
    <t>Diepenbroek, M (corresponding author), MARUM, Ctr Marine Environm Sci, D-28334 Bremen, Germany.</t>
  </si>
  <si>
    <t>Diepenbroek, Michael/0000-0003-3096-6829; Miller, Heinrich/0000-0003-1015-2828; Grobe, Hannes/0000-0002-4133-2218</t>
  </si>
  <si>
    <t>WOS:000079713100108</t>
  </si>
  <si>
    <t>Priddle, J; Nedwell, DB; Whitehouse, MJ; Reay, DS; Savidge, G; Gilpin, LC; Murphy, EJ; Ellis-Evans, JC</t>
  </si>
  <si>
    <t>Re-examining the Antarctic Paradox: speculation on the Southern Ocean as a nutrient-limited system</t>
  </si>
  <si>
    <t>NITROGEN-METABOLISM; AMMONIUM UPTAKE; SCOTIA SEA; PHYTOPLANKTON; CARBON; IRON; TEMPERATURE; NITRATE; DEPLETION; PLANKTON</t>
  </si>
  <si>
    <t>The Southern Ocean is the largest of the high-nutrient, low-chlorophyll (HNLC) regions of the world ocean. Phytoplankton production fails to utilise completely the pool of inorganic nutrients in the euphotic zone, giving rise to low phytoplankton biomass and leaving relatively high summer nutrient concentrations. This enigma is of considerable significance for our understanding of the role of the oceans in the global carbon cycle. Various limiting factors have been considered: low light, low temperature, absence of necessary trace elements, grazing pressure and other means of biomass removal. The dynamics of nitrogen uptake by phytoplankton are of particular importance. Classically, nitrate mixed into the surface layer during winter provides the nitrogen pool for growth in the spring bloom. Some organic material is exported to depth, whilst the remainder is recycled, providing ammonium and other reduced species as nitrogenous substrates for growth during the remainder of the season. The oxidation state of the inorganic nitrogen supply thus identifies new and recycled carbon fixation. Whilst this is convenient shorthand for the nitrogen nutrition of carbon export in much of the ocean, it is an inappropriate model for the Southern Ocean. Here, nitrate and ammonium use are simultaneous, and nitrate is never exhausted by the annual phytoplankton production. We speculate that a range of environmental factors combine to make the large pool of nitrate partially inaccessible to phytoplankton. In addition to the documented effects of low iron availability and high ammonium concentrations, the low temperatures characteristic of the Southern Ocean may decrease nitrate availability because of the increased energetic overheads in its uptake and reduction. This in turn makes ammonium an important nitrogenous substrate, and its production by zooplankton and heterotrophic microorganisms is an important component of the plankton nitrogen cycle. There is some evidence that ammonium production by large grazing animals may stimulate phytoplankton growth. Microbial removal of nitrogen from sedimenting phytoplankton cells may result in local decoupling between the carbon and nitrogen cycles, allowing some reduced nitrogen to remain in the euphotic zone whilst carbon is exported to depth.</t>
  </si>
  <si>
    <t>British Antarctic Survey, NERC, Cambridge CB3 0ET, England; Univ Essex, Dept Biol, Colchester CO4 3SQ, Essex, England; Queens Univ Belfast, Marine Biol Stn, Portaferry BT22 1PF, Down, North Ireland</t>
  </si>
  <si>
    <t>UK Research &amp; Innovation (UKRI); Natural Environment Research Council (NERC); NERC British Antarctic Survey; University of Essex; Queens University Belfast</t>
  </si>
  <si>
    <t>Priddle, J (corresponding author), British Antarctic Survey, NERC, High Cross,Madingley Rd, Cambridge CB3 0ET, England.</t>
  </si>
  <si>
    <t>Whitehouse, Martin J/E-1425-2013; Reay, David/F-4054-2010; murphy, eugene/GZL-1620-2022</t>
  </si>
  <si>
    <t>Reay, Dave/0000-0001-5829-9007</t>
  </si>
  <si>
    <t>WOS:000079713100109</t>
  </si>
  <si>
    <t>Burns, GB; French, WJR; Greet, PA; Williams, PFB; Finlayson, K; Lowe, RP</t>
  </si>
  <si>
    <t>Monitoring the Antarctic mesopause region for signatures of climate change</t>
  </si>
  <si>
    <t>TRANSITION-PROBABILITIES</t>
  </si>
  <si>
    <t>The polar mesopause region (80-100 km) is the coldest region of the Earth's atmosphere and is expected to be sensitive to global change. Reported increases in observations of polar mesospheric clouds over the last 100 years have been postulated to be related to decreased temperatures (associated with tropospheric warming) and increased water vapour at mesospheric altitudes (a result of increased methane concentrations in the troposphere). The temperature of this region can be monitored by spectroscopic techniques utilising hydroxyl (OH) emissions which originate near 87 km. The Australian Antarctic Division, Atmospheric and Space Physics group has been analyzing OH (6-2) band spectra recorded with a Czerny-Turner scanning spectrometer at Davis Station, Antarctica (68.6 degrees S, 78.0 degrees E) to optimise temperature determinations for climate change studies. A number of difficulties were encountered, some of which have been overcome and all of which can be overcome. The mid-winter average temperature of the OH layer for May-July 1990 has been measured as 224 +/- 2 K. The equivalent value for 1996 is 215 +/- 2 K. Possible reasons for the difference are discussed.</t>
  </si>
  <si>
    <t>Australian Antarctic Div, Hobart, Tas 7050, Australia; Univ Tasmania, Antartic CRC, Hobart, Tas 7001, Australia; Univ Tasmania, IASOS, Hobart, Tas 7001, Australia; Univ Western Ontario, Inst Space &amp; Terr Sci, London, ON N6A 3K7, Canada</t>
  </si>
  <si>
    <t>Australian Antarctic Division; University of Tasmania; University of Tasmania; Western University (University of Western Ontario)</t>
  </si>
  <si>
    <t>WOS:000079713100110</t>
  </si>
  <si>
    <t>Barbante, C; Turetta, C; Gambaro, A; Capodaglio, G; Scarponi, G</t>
  </si>
  <si>
    <t>Sources and origins of aerosols reaching Antarctica as revealed by lead concentration profiles in shallow snow</t>
  </si>
  <si>
    <t>HEAVY-METALS; DUST; CONTAMINATION</t>
  </si>
  <si>
    <t>Changes in the lead concentration in Antarctic snow over the past 30 years are considered as a response of the environment to a well-documented environmental change (decrease of lead emissions into the atmosphere). New data confirm the recent decreasing trend of lead concentration in snow as revealed by previous studies. Furthermore. comparing changes in the lead concentration in Antarctic snow layers with lead emissions from different anthropic sources, we can hypothesise that under present-day climatic conditions, lead-enriched aerosols reaching the Atlantic and Pacific sectors of East Antarctica originate mainly in South America and Australia, respectively.</t>
  </si>
  <si>
    <t>Univ Venice, Dipartimento Sci Ambientali, I-30123 Venice, Italy; CNR, Ctr Studio Chim &amp; Tecnol Ambiente, I-30123 Venice, Italy; Univ Ancona, Fac Sci Matemat Fis &amp; Nat, I-60131 Ancona, Italy</t>
  </si>
  <si>
    <t>Universita Ca Foscari Venezia; Consiglio Nazionale delle Ricerche (CNR); Marche Polytechnic University</t>
  </si>
  <si>
    <t>Barbante, C (corresponding author), Univ Venice, Dipartimento Sci Ambientali, I-30123 Venice, Italy.</t>
  </si>
  <si>
    <t>Barbante, Carlo/B-3195-2011; Scarponi, Giuseppe/AAQ-6394-2021; Turetta, Clara/O-2849-2015; Capodaglio, Gabriele/D-5295-2014</t>
  </si>
  <si>
    <t>Scarponi, Giuseppe/0000-0003-2932-0596; Turetta, Clara/0000-0003-3130-2901; Capodaglio, Gabriele/0000-0002-3689-4865; Barbante, Carlo/0000-0003-4177-2288</t>
  </si>
  <si>
    <t>WOS:000079713100111</t>
  </si>
  <si>
    <t>Gragnani, R; Smiraglia, C; Stenni, B; Torcini, S</t>
  </si>
  <si>
    <t>Chemical and isotopic profiles from snow pits and shallow firn cores on Campbell Glacier, northern Victoria Land, Antarctica</t>
  </si>
  <si>
    <t>NOVA BAY ANTARCTICA; SEA-SALT PARTICLES; ICE CORES; METHANESULFONIC-ACID; SURFACE SNOW; GREENLAND; SULFATE; PRECIPITATION; EXPEDITION; PENINSULA</t>
  </si>
  <si>
    <t>The chemical (Na+, K+, Mg2+, Ca2+, CH3SO3- (MSA), Cl-, NO3-, SO42-) and isotopic (delta(18)O) composition of snow and firn samples from Campbell Glacier, northern Victoria Land, Antarctica, was studied to evaluate the accumulation rate of snow and to investigate the chemical contribution from some emission sources (marine biogenic activity, sea and crust). During the 1994-95 Italian Antarctic Expedition, snow and firn were collected from snow pits and from cores obtained from drilling at three sites (A: 74 degrees 41' S, 164 degrees 30' E; B: 74 degrees 15' S, 164 degrees 04' E; C: 73 degrees 45' S, 163 degrees 20' E), located at 50 m (on the floating glacier tongue), 800 m and 1580 m a.s.l., respectively. The mean concentration of sea salt decreased with increasing distance from the coast and with altitude. Generally, the Na+/K+ and Na+/Ca2+ ratios were much lower than the hulk sea-water ratios at sites B and C. The MSA showed mean concentrations (0.27 and 0.17 mu eq l(-1) at sites B and C, respectively) consistent with data obtained from other Antarctic sites The mean concentrations of NO3- ranged from 2.1 mu eq l(-1) (site A) to 0.97 mu eq l(-1) (site C). The mean nss (non-sea-salt) SO42-/SO42- ratio was -0.055, 0.54 and 0.42 at sites A, B and C respectively Moreover rbe relationship between Ca2+, nssCa(2+), SO42- and nssSO(4)(2-) was quite different at sites B and C. In order to explain the relationships between the elements and compounds studied at these sites, chemical fractionation and/or reactions inside air masses and different origin of the air masses at the two sites should be considered. A comparison of the isotopic and chemical profiles was carried out in order to provide a more reliable chronological scale. The chemical and delta(18)O seasonal variations recorded along the firn cores from the upper site of Campbell Glacier seem to be fairly homogeneous. This made it possible to identify many annual cycles (14-18 years for the 7 m firn core). Using the measured density values, the accumulation rate was also calculated for lower and upper Campbell Glacier. It did not appear to differ between the two sites (150-170 kg m(-2) a(-1) at site B and 140-180 kg m(-2) a(-1) at site C) and is in keeping with rates calculated previously for the same area.</t>
  </si>
  <si>
    <t>ENEA, AMB, CRE Casaccia, I-00100 Rome, Italy; Univ Milan, Dipartimento Sci Terra, I-20133 Milan, Italy; Univ Trieste, Dipartimento Sci Geol Ambientali &amp; Marine, I-34127 Trieste, Italy</t>
  </si>
  <si>
    <t>Italian National Agency New Technical Energy &amp; Sustainable Economics Development; University of Milan; University of Trieste</t>
  </si>
  <si>
    <t>ENEA, AMB, CRE Casaccia, I-00100 Rome, Italy.</t>
  </si>
  <si>
    <t>Smiraglia, Claudio/0000-0001-6635-2074; Stenni, Barbara/0000-0003-4950-3664</t>
  </si>
  <si>
    <t>WOS:000079713100112</t>
  </si>
  <si>
    <t>Neumann, K; Lyons, WB; Des Marais, DJ</t>
  </si>
  <si>
    <t>Inorganic carbon-isotope distribution and budget in the Lake Hoare and Lake Fryxell basins, Taylor valley, Antarctica</t>
  </si>
  <si>
    <t>ICE; BIOGEOCHEMISTRY; PHYTOPLANKTON; MATS</t>
  </si>
  <si>
    <t>One of the unusual features of lakes Fryxell and Hoare in Taylor Valley southern Victoria Land, Antarctica, is their perennial ice cover. This ice cover limits gas exchange between the atmosphere and the lake water, and causes a very stable stratification of the lakes. We analyzed a series of water samples from profiles of these lakes and their tributaries for delta(13)C of the dissolved inorganic carbon (DIC) in order to qualify the carbon flux from the streams into the lakes, and to investigate the carbon cycling within the lakes. Isotopic values in the uppermost waters (delta(13)C = +1.3 parts per thousand to 5.3 parts per thousand in Lake Hoare, +0.4 parts per thousand to +3.0 parts per thousand in Lake Fryxell) are close to the carbon-isotope values encountered in the streams feeding Lake Fryxell, but distinctively heavier than in streams feeding Lake Hoare (delta(13)C = -2.3 parts per thousand to 1.4 parts per thousand). These ratios are much heavier than ratios found in the moat that forms around the lakes in January-February (delta(13)C = -10.1 parts per thousand). In the oxic photic zones of the lakes, photosynthesis clearly influences the isotopic composition, with layers of high productivity having enriched carbon-isotope signatures (delta(13)C = +2.7 parts per thousand to +6.1 parts per thousand). In both lakes, the isotopic values become lighter with depth, reaching minima of -3.2 parts per thousand and -4.0 parts per thousand in Lakes Fryxell and Hoare, respectively These minima are caused by the microbial remineralization of isotopically light organic carbon. Mie present DIC flux calculations that help to interpret the isotopic distribution. For example, in Lake Hoare the higher utilization of CO2aq, and a substantially smaller inflow of CO2 from streams cause the heavier observed isotopic ratios. Differences in the hydrology and stream morphologies of the tributaries also greatly influence the carbon budgets of the basins.</t>
  </si>
  <si>
    <t>Univ Alabama, Dept Geol, Tuscaloosa, AL 35487 USA; NASA, Ames Res Ctr, Moffett Field, CA 94035 USA</t>
  </si>
  <si>
    <t>University of Alabama System; University of Alabama Tuscaloosa; National Aeronautics &amp; Space Administration (NASA); NASA Ames Research Center</t>
  </si>
  <si>
    <t>Neumann, K (corresponding author), Univ Alabama, Dept Geol, Tuscaloosa, AL 35487 USA.</t>
  </si>
  <si>
    <t>WOS:000079713100113</t>
  </si>
  <si>
    <t>Vincent, WF; Laurion, I; Pienitz, R</t>
  </si>
  <si>
    <t>Arctic and Antarctic lakes as optical indicators of global change</t>
  </si>
  <si>
    <t>DISSOLVED ORGANIC-MATTER; ULTRAVIOLET-RADIATION; FLUORESCENCE PROPERTIES; NORTHWEST-TERRITORIES; PRIMARY PRODUCTIVITY; WATERS; ABSORPTION; YELLOWKNIFE; INHIBITION; ECOSYSTEMS</t>
  </si>
  <si>
    <t>Lakes are a major feature of Arctic and Antarctic landscapes and are likely to be sensitive indicators of climate change. New bio-optical technologies for in situ measurements (e.g. UV-profiling) and remote sensing (e.g. light detection and ranging) now offer a suite of options for long-term monitoring at these sites. Certain properties of high-latitude lakes are highly responsive to changes in climate forcing and could be targeted within a monitoring strategy based on optical properties; these include lake levels, lake-ice dynamics, phytoplankton biomass and chromophoric dissolved organic matter (CDOM). High-latitude lakes are optically sensitive to changes in CDOM export from their surrounding catchments that could result from climate effects on hydrology and vegetation. Using a new model based on biologically weighted transparency, we show that a 20% change in CDOM concentration (as measured by dissolved organic arbon) can have a much greater effect on UV inhibition of phytoplankton than a similar percentage change in stratospheric ozone. Much of this effect is due to UV-A, because the reduced photodamaging effect per unit energy (i.e. low biological weighting) in this waveband is offset by its higher incident flux at the lake surface relative to UV-B and its deeper penetration into the water column. These transparency calculations also show that small changes in CDOM in polar lakes will have a large effect on underwater light availability for photosynthesis. The spectral absorption and fluorescence properties of CDOM lend themselves to a variety of optical monitoring approaches. Future research on the paleo-optics of CDOM will allow the interpretation of current optical trends in high-latitude lakes relative to the scales of natural variability in the past.</t>
  </si>
  <si>
    <t>Antarctic CRC, Hobart, Tas 7001, Australia; Univ Laval, Dept Biol, Ctr Etud Nord, St Foy, PQ G1K 7P4, Canada; Univ Laval, Dept Geog, St Foy, PQ G1K 7P4, Canada</t>
  </si>
  <si>
    <t>Vincent, WF (corresponding author), Antarctic CRC, Box 252-80, Hobart, Tas 7001, Australia.</t>
  </si>
  <si>
    <t>Vincent, Warwick F/C-9522-2009; Vincent, Warwick/AAH-6152-2019</t>
  </si>
  <si>
    <t>Vincent, Warwick/0000-0001-9055-1938; Laurion, Isabelle/0000-0001-8694-3330</t>
  </si>
  <si>
    <t>WOS:000079713100114</t>
  </si>
  <si>
    <t>Frignani, M; Giglio, F; Langone, L; Ravaioli, M; Mangini, A</t>
  </si>
  <si>
    <t>Late Pleistocene-Holocene sedimentary fluxes of organic carbon and biogenic silica in the northwestern Ross Sea, Antarctica</t>
  </si>
  <si>
    <t>CONTINENTAL-SHELF; SOUTHERN-OCEAN; ATLANTIC SECTOR; ICE RETREAT; ACCUMULATION; PRESERVATION</t>
  </si>
  <si>
    <t>Eight sediment gravity cores, collected from the Joides and Drygalski basins, were analysed in order to understand late Pleistocene-Holocene biogenic flux changes in the Ross Sea, driven by paleoenvironmental changes. Core lithologies and magnetic-susceptibility depth profiles were used for core logging and stratigraphic correlation. Nineteen AMS radiocarbon dates of bulk organic matter were used to set chronological constraints and calculate sediment accumulation rates. These rates, which vary from 1.4-38 cm ka(-1) were used to obtain the burial fluxes of biogenic components. The highest fluxes occur in the deepest parts of the basins (TOC, 0.05-0.2 g cm(-2) ka(-1) biogenic silica, 1.5-5 g cm(-2) ka(-1)), whereas topographic highs show the lowest values (TOC, 0.01-0.1g cm(-2) ka(-1); biogenic silica, 0.1-1.4 g cm(-2) ka(-1)). Dramatic changes in both physical properties and fluxes record the establishment of open marine-sedimentation conditions which occurred first in the Joides basin and then, with a delay of ca. 6000 years, in the Drygalski basin. Both TOC and biogenic-silica fluxes increase through the Holocene, though slightly differently. The high fluxes of both Be-10 and biogenic Ba suggest that sediment accumulation at basin sites is strongly influenced by lateral transport.</t>
  </si>
  <si>
    <t>CNR, Ist Geol Marina, I-40129 Bologna, Italy; Univ Heidelberg, Inst Umweltphys, D-6900 Heidelberg, Germany</t>
  </si>
  <si>
    <t>Consiglio Nazionale delle Ricerche (CNR); Istituto di Scienze Marine (ISMAR-CNR); Ruprecht Karls University Heidelberg</t>
  </si>
  <si>
    <t>Frignani, M (corresponding author), CNR, Ist Geol Marina, Via Gobetti 101, I-40129 Bologna, Italy.</t>
  </si>
  <si>
    <t>, leonardo.langone@ismar.cnr.it/D-8139-2011; Ravaioli, Mariangela/B-7589-2015</t>
  </si>
  <si>
    <t>Ravaioli, Mariangela/0000-0001-6858-8013</t>
  </si>
  <si>
    <t>WOS:000079713100115</t>
  </si>
  <si>
    <t>Wunsch, C; Stammer, D</t>
  </si>
  <si>
    <t>Satellite altimetry, the marine geoid, and the oceanic general circulation</t>
  </si>
  <si>
    <t>ANNUAL REVIEW OF EARTH AND PLANETARY SCIENCES</t>
  </si>
  <si>
    <t>geodesy; gravity; climate</t>
  </si>
  <si>
    <t>ANTARCTIC CIRCUMPOLAR WAVE; SEA-STATE BIAS; PACIFIC-OCEAN; TOPEX/POSEIDON ALTIMETRY; ELECTROMAGNETIC BIAS; INTERANNUAL CHANGES; ROSSBY WAVES; TOPEX DATA; EL-NINO; GEOSAT</t>
  </si>
  <si>
    <t>For technical reasons, the general circulation of the ocean has historically been treated as a steady, laminar flow field. The recent availability of extremely high-accuracy and high-precision satellite altimetry has provided a graphic demonstration that the ocean is actually a rapidly time-evolving turbulent how field. To render the observations quantitatively useful for oceanographic purposes has required order of magnitude improvements in a number of fields, including orbit dynamics, gravity field estimation, and atmospheric variability. With five years of very high-quality data now available, the nature of oceanic variability on all space and time scales is emerging, including new findings about such diverse and important phenomena as mixing coefficients, the frequency/wavenumber spectrum, and turbulent cascades. Because the surface elevation is both a cause and consequence of motions deep within the water column, oceanographers soon will be able to provide general circulation numerical models tested against and then combined with the altimeter data. These will be complete three-dimensional time-evolving estimates of the ocean circulation, permitting greatly improved estimates of oceanic heat, carbon, and other property fluxes.</t>
  </si>
  <si>
    <t>MIT, Dept Earth Atmospher &amp; Planetary Sci, Cambridge, MA 02139 USA</t>
  </si>
  <si>
    <t>Massachusetts Institute of Technology (MIT)</t>
  </si>
  <si>
    <t>MIT, Dept Earth Atmospher &amp; Planetary Sci, Cambridge, MA 02139 USA.</t>
  </si>
  <si>
    <t>cwunsch@pond.mit.edu; detlef@lagoon.mit.edu</t>
  </si>
  <si>
    <t>ANNUAL REVIEWS</t>
  </si>
  <si>
    <t>PALO ALTO</t>
  </si>
  <si>
    <t>4139 EL CAMINO WAY, PO BOX 10139, PALO ALTO, CA 94303-0139 USA</t>
  </si>
  <si>
    <t>0084-6597</t>
  </si>
  <si>
    <t>ANNU REV EARTH PL SC</t>
  </si>
  <si>
    <t>Annu. Rev. Earth Planet. Sci.</t>
  </si>
  <si>
    <t>10.1146/annurev.earth.26.1.219</t>
  </si>
  <si>
    <t>Astronomy &amp; Astrophysics; Geosciences, Multidisciplinary</t>
  </si>
  <si>
    <t>Astronomy &amp; Astrophysics; Geology</t>
  </si>
  <si>
    <t>ZQ991</t>
  </si>
  <si>
    <t>WOS:000073923900011</t>
  </si>
  <si>
    <t>Smith, WHF</t>
  </si>
  <si>
    <t>Seafloor tectonic fabric from satellite altimetry</t>
  </si>
  <si>
    <t>gravity anomalies; seafloor spreading rate; seamount; roughness; global</t>
  </si>
  <si>
    <t>EMPEROR SEAMOUNT CHAIN; SEA-STATE BIAS; AUSTRALIAN-ANTARCTIC DISCORDANCE; MARINE GRAVITY-FIELD; PACIFIC-OCEAN-BASIN; GEOID HEIGHTS; SPREADING RATE; SOUTH-PACIFIC; BATHYMETRIC PREDICTION; ELASTIC THICKNESS</t>
  </si>
  <si>
    <t>Ocean floor structures with horizontal scales of 10 to a few hundred kilometers and vertical scales of 100 m or more generate sea surface gravity anomalies observable with satellite altimetry. Prior to 1990, altimeter data resolved only tectonic lineaments, some seamounts, and some aspects of mid-ocean ridge structure. New altimeter data available since mid-1995 resolve 10-km-scale structures over nearly all the world's oceans. These data are the basis of new global bathymetric maps and have been interpreted as exhibiting complexities in the sea floor spreading process including ridge jumps, propagating rifts, and variations in magma supply. This chapter reviews the satellite altimetry technique and its resolution of tectonic structures, gives examples of intriguing tectonic phenomena, and shows that structures as small as abyssal hills are partially resolved. A new result obtained here is that the amplitude of the fine-scale (10-80 km) roughness of old ocean floor is spreading-rate dependent in the same way that it is at mid-ocean ridges, suggesting that fine-scale tectonic fabric is generated nearly exclusively by ridge-axis processes.</t>
  </si>
  <si>
    <t>NOAA, Lab Satellite Altimetry, Silver Spring, MD 20910 USA</t>
  </si>
  <si>
    <t>National Oceanic Atmospheric Admin (NOAA) - USA</t>
  </si>
  <si>
    <t>NOAA, Lab Satellite Altimetry, Silver Spring, MD 20910 USA.</t>
  </si>
  <si>
    <t>walter@amos.grdl.noaa.gov</t>
  </si>
  <si>
    <t>Smith, Walter H F/AAM-6681-2020</t>
  </si>
  <si>
    <t>Smith, Walter H F/0000-0002-8814-015X</t>
  </si>
  <si>
    <t>1545-4495</t>
  </si>
  <si>
    <t>10.1146/annurev.earth.26.1.697</t>
  </si>
  <si>
    <t>WOS:000073923900022</t>
  </si>
  <si>
    <t>Staszewski, WJ; Worden, K</t>
  </si>
  <si>
    <t>Analysis of wind fluctuations using the orthogonal wavelet transform</t>
  </si>
  <si>
    <t>APPLIED SCIENTIFIC RESEARCH</t>
  </si>
  <si>
    <t>atmospheric boundary layer; coherent structures; wavelets</t>
  </si>
  <si>
    <t>TURBULENT COHERENT MOTIONS; FOREST CANOPY</t>
  </si>
  <si>
    <t>This paper presents a study of velocity fluctuations occurring in the stably stratified atmospheric boundary layer over an Antarctic ice shelf. The approach is based on wavelet analysis which has advantages over conventional Fourier analysis. Two case studies are presented, comprising: 'pure' turbulent flow and a large amplitude solitary wave.</t>
  </si>
  <si>
    <t>Univ Sheffield, Dept Mech Engn, Dynam Res Grp, Sheffield S1 3JD, S Yorkshire, England; Univ Sheffield, Sch Math &amp; Stat, Sheffield S3 7RH, S Yorkshire, England</t>
  </si>
  <si>
    <t>University of Sheffield; University of Sheffield</t>
  </si>
  <si>
    <t>Staszewski, WJ (corresponding author), Univ Sheffield, Dept Mech Engn, Dynam Res Grp, Mappin St, Sheffield S1 3JD, S Yorkshire, England.</t>
  </si>
  <si>
    <t>Worden, Keith/0000-0002-1035-238X; Rees, Julia/0000-0002-6266-5708</t>
  </si>
  <si>
    <t>0003-6994</t>
  </si>
  <si>
    <t>APPL SCI RES</t>
  </si>
  <si>
    <t>Appl. Sci. Res.</t>
  </si>
  <si>
    <t>Thermodynamics; Mechanics</t>
  </si>
  <si>
    <t>129BA</t>
  </si>
  <si>
    <t>WOS:000076442300008</t>
  </si>
  <si>
    <t>Ellis-Evans, JC; Laybourn-Parry, J; Bayliss, PR; Perriss, SJ</t>
  </si>
  <si>
    <t>Physical, chemical and microbial community characteristics of lakes of the Larsermann Hills, Continental Antarctica</t>
  </si>
  <si>
    <t>ARCHIV FUR HYDROBIOLOGIE</t>
  </si>
  <si>
    <t>FRESH-WATER LAKES; EASTERN ANTARCTICA; LARSEMANN HILLS; PHYTOPLANKTON; DYNAMICS; ECOSYSTEMS; SEDIMENTS; RADIATION; PLANKTON; ISLAND</t>
  </si>
  <si>
    <t>Numerous freshwater lakes have developed on the three small ice-free peninsulas that constitute the Larsemann Hills, Princess Elizabeth Land, Antarctica. All the lakes are ultra-oligotrophic and ice covered for 9-11 months each year, resulting in a photosynthetically distinctive seasonal environment with uniformly low water temperatures. The benthic communities are dominated by thick cyanobacterial mats in the deeper parts of all but the few shallow brackish lakes. In these brackish lakes, the photosynthetically active mats are located in the lake margins as the deeper parts of these lakes are strongly anoxic under winter ice cover. In the more freshwater lakes, a depth-related zonation of mat type was observed, which showed pigment modifications to a substantial depth consistent with measured penetration of PAR and UV radiation, even under the extensive ice cover. The thick organic deposits and intact mat structure at depth suggest slow decomposition rates within the mats. The plankton are almost entirely microbial, with two forms of planktonic rotifer and the cladoceran, Daphniopsis studeri present in very low numbers. A desmid, Cosmarium, occurred in relatively large numbers in Heart Lake, a coastal system. The desmid group is very rare in continental Antarctica. Abundances of bacteria, heterotrophic and phototrophic nanoflagellates, and ciliates were consistently low. Microbial community diversity is low when compared to other sites in continental Antarctica (e.g. Dry Valleys) but broadly comparable to that of freshwater lakes in the nearby Vestfold Hills. The invertebrate grazer is present in such low numbers that food web structure can be considered to have a single trophic level based on the microbial loop. In view of the sparse autotrophic plankton and barren catchments, DOC supply to the microbial heterotrophs was probably derived in large part from the benthic mats rather than from planktonic photosynthetic exudates.</t>
  </si>
  <si>
    <t>British Antarctic Survey, Cambridge CB3 0ET, England; Univ Nottingham, Dept Physiol &amp; Environm Sci, Loughborough LE12 5RD, Leics, England; La Trobe Univ, Sch Zool, Bundoora, Vic 3083, Australia</t>
  </si>
  <si>
    <t>UK Research &amp; Innovation (UKRI); Natural Environment Research Council (NERC); NERC British Antarctic Survey; University of Nottingham; La Trobe University</t>
  </si>
  <si>
    <t>jcel@bas.ac.uk</t>
  </si>
  <si>
    <t>E SCHWEIZERBARTSCHE VERLAGSBUCHHANDLUNG</t>
  </si>
  <si>
    <t>NAEGELE U OBERMILLER, SCIENCE PUBLISHERS, JOHANNESSTRASSE 3A, D 70176 STUTTGART, GERMANY</t>
  </si>
  <si>
    <t>0003-9136</t>
  </si>
  <si>
    <t>ARCH HYDROBIOL</t>
  </si>
  <si>
    <t>Arch. Hydrobiol.</t>
  </si>
  <si>
    <t>Limnology; Marine &amp; Freshwater Biology</t>
  </si>
  <si>
    <t>ZB499</t>
  </si>
  <si>
    <t>WOS:000072478700006</t>
  </si>
  <si>
    <t>Solman, SA; Menendez, CG</t>
  </si>
  <si>
    <t>Study of a cyclone wave in the Drake Passage region</t>
  </si>
  <si>
    <t>ATMOSFERA</t>
  </si>
  <si>
    <t>SOUTHERN-HEMISPHERE; BAROCLINIC WAVES; STORM TRACK; DOWNSTREAM; CIRCULATION; ANTARCTICA</t>
  </si>
  <si>
    <t>The evolution of a ridge-trough system that occurred in the periphery of the Antarctic in late July 1986 is examined. A cyclonic disturbance within the polarward side of a blocking anticyclone, developed into an intense closed circulation to the east of the Drake Passage. The maturity and decay of the system took place over the Weddell Sea, a location for cyclolysis according to the climatology. The eddy kinetic energy budget of this wave was evaluated, using 12-h ECMWF operational analyses, in order to identify the physical processes that contributed to its development. Particularly, attention was given to the role of the downstream baroclinic development process in the growth and decay of energy centers associated with the cyclonic wave. The initial growth of an eddy kinetic energy center near 90 degrees W was mastered by the convergence of ageostrophic geopotential fluxes, originated from a previous energy center in dissipation stage. The center developed in a region of relatively low baroclinicity and then the incidence of the baroclinic conversion process was not significant As the center intensified it produced strong radiation of energy downstream to the east of Drake Passage, where a deep cyclone developed, with a new associated eddy kinetic energy center. It was found that the convergence of ageostrophic geopotential fluxes and in lesser extent, the baroclinic conversion were the most important physical processes during the early stage of growing. Finally, this last energy center decayed, mainly, by flux divergence.</t>
  </si>
  <si>
    <t>CONICET, CIMA, RA-1033 Buenos Aires, DF, Argentina; Univ Buenos Aires, Dept Cs Atmosfera, Buenos Aires, DF, Argentina</t>
  </si>
  <si>
    <t>Consejo Nacional de Investigaciones Cientificas y Tecnicas (CONICET); University of Buenos Aires</t>
  </si>
  <si>
    <t>Solman, SA (corresponding author), CONICET, CIMA, RA-1033 Buenos Aires, DF, Argentina.</t>
  </si>
  <si>
    <t>Menendez, Claudio Guillermo/0000-0002-2779-7123</t>
  </si>
  <si>
    <t>CENTRO CIENCIAS ATMOSFERA UNAM</t>
  </si>
  <si>
    <t>MEXICO CITY</t>
  </si>
  <si>
    <t>CIRCUITO EXTERIOR, MEXICO CITY CU 04510, MEXICO</t>
  </si>
  <si>
    <t>0187-6236</t>
  </si>
  <si>
    <t>Atmosfera</t>
  </si>
  <si>
    <t>JAN 1</t>
  </si>
  <si>
    <t>YR056</t>
  </si>
  <si>
    <t>WOS:000071453400002</t>
  </si>
  <si>
    <t>Palinkas, LA; Johnson, JC; Boster, JS; Houseal, M</t>
  </si>
  <si>
    <t>Longitudinal studies of behavior and performance during a winter at the South Pole</t>
  </si>
  <si>
    <t>AVIATION SPACE AND ENVIRONMENTAL MEDICINE</t>
  </si>
  <si>
    <t>EXPEDITION; ANTARCTICA; PATTERNS</t>
  </si>
  <si>
    <t>Background: Evidence of a specific pattern of performance decrement in isolated and confined (ICE) environments has not been consistently demonstrated in previous research. Hypothesis: Decrements in performance in ICE environments: a) occur in a linear, dose-response manner; b) occur in stages; or c) do not occur at all. Methods: There were 83 members of the United States Antarctic Program who spent an austral winter at the Amundsen-Scott South Pole Station (90 degrees S) between 1991 and 1994 and completed the Profile of Moods States (POMS) once a month for an 8-mo period from March through October. Results: Over the entire 8-mo period, there was a decline in depression (p = 0.007) and vigor (p &lt; 0.0001), and an increase in fatigue (p = 0.059) and tension-anxiety (p = 0.075). Of these four measures, only vigor exhibits a linear pattern. Mean scores for tension anxiety and fatigue were lower during the first half of the winter than the second half (p = 0.074 and 0.077, respectively). In comparisons between each quarter and the remaining three quarters, averaged mean tension-anxiety scores and fatigue scores were lower during the second quarter (p = 0.009 and 0.03, respectively), and higher during the fourth quarter (p = 0.025 and 0.035, respectively) than during the previous three quarters combined. Conclusions: The duration of optimal performance in isolated and extreme environments and the explanation for changes in performance during long duration assignments in such environments both depend on what behavioral measure is used to assess performance.</t>
  </si>
  <si>
    <t>Univ Calif San Diego, Dept Family &amp; Prevent Med, Div Family Med, La Jolla, CA 92093 USA; E Carolina Univ, Inst Coastal &amp; Marine Studies, Greenville, NC USA; Univ Connecticut, Dept Anthropol, Storrs, CT USA; Texas Tech Univ, Dept Psychiat, Lubbock, TX 79409 USA</t>
  </si>
  <si>
    <t>University of California System; University of California San Diego; University of North Carolina; East Carolina University; University of Connecticut; Texas Tech University System; Texas Tech University</t>
  </si>
  <si>
    <t>Palinkas, LA (corresponding author), Univ Calif San Diego, Dept Family &amp; Prevent Med, Div Family Med, 9500 Gilman Dr, La Jolla, CA 92093 USA.</t>
  </si>
  <si>
    <t>AEROSPACE MEDICAL ASSOC</t>
  </si>
  <si>
    <t>ALEXANDRIA</t>
  </si>
  <si>
    <t>320 S HENRY ST, ALEXANDRIA, VA 22314-3579 USA</t>
  </si>
  <si>
    <t>0095-6562</t>
  </si>
  <si>
    <t>AVIAT SPACE ENVIR MD</t>
  </si>
  <si>
    <t>Aviat. Space Environ. Med.</t>
  </si>
  <si>
    <t>Public, Environmental &amp; Occupational Health; Medicine, General &amp; Internal; Sport Sciences</t>
  </si>
  <si>
    <t>Science Citation Index Expanded (SCI-EXPANDED); Social Science Citation Index (SSCI)</t>
  </si>
  <si>
    <t>Public, Environmental &amp; Occupational Health; General &amp; Internal Medicine; Sport Sciences</t>
  </si>
  <si>
    <t>YQ550</t>
  </si>
  <si>
    <t>WOS:000071399000013</t>
  </si>
  <si>
    <t>Rees, JM; Anderson, PS; King, JC</t>
  </si>
  <si>
    <t>Observations of solitary waves in the stable atmospheric boundary layer</t>
  </si>
  <si>
    <t>BOUNDARY-LAYER METEOROLOGY</t>
  </si>
  <si>
    <t>solitary waves; stable boundary layer; atmosphere; antarctica</t>
  </si>
  <si>
    <t>LOWER TROPOSPHERE; TOWER</t>
  </si>
  <si>
    <t>Large amplitude, isolated, wave-like phenomena have been observed in the lowest 40 m of the strongly stably stratified atmospheric boundary layer overlying a coastal Antarctic ice shelf. The waves only occur when prevailing wind speeds are low. They always propagate from over the land, with phase speeds exceeding the local mean wind speed. They have wavelengths of the order of 200 m. Several examples are described and a summary of the statistical properties of these waves events is presented.</t>
  </si>
  <si>
    <t>Univ Sheffield, Sch Math &amp; Stat, Sheffield S3 7RH, S Yorkshire, England; British Antarctic Survey, Cambridge CB3 0ET, England</t>
  </si>
  <si>
    <t>University of Sheffield; UK Research &amp; Innovation (UKRI); Natural Environment Research Council (NERC); NERC British Antarctic Survey</t>
  </si>
  <si>
    <t>Rees, JM (corresponding author), Univ Sheffield, Sch Math &amp; Stat, Sheffield S3 7RH, S Yorkshire, England.</t>
  </si>
  <si>
    <t>Rees, Julia/0000-0002-6266-5708</t>
  </si>
  <si>
    <t>0006-8314</t>
  </si>
  <si>
    <t>BOUND-LAY METEOROL</t>
  </si>
  <si>
    <t>Bound.-Layer Meteor.</t>
  </si>
  <si>
    <t>10.1023/A:1000555504268</t>
  </si>
  <si>
    <t>ZC664</t>
  </si>
  <si>
    <t>WOS:000072604200003</t>
  </si>
  <si>
    <t>Denholm-Price, JCW; Rees, JM</t>
  </si>
  <si>
    <t>A practical example of low-frequency trend removal - Research note</t>
  </si>
  <si>
    <t>gravity waves; trend; spectral analysis</t>
  </si>
  <si>
    <t>Three different 'classical' methods of removing low-frequency trends are used to detrend some instrumental data, and their effect is evaluated. The examples given here highlight problems that may occur whenever detrending is necessary. The trend present in the data arises from the passage of synoptic weather systems over the Antarctic during the operation of the instrument. The resultant signal varies over a period of hours. This contrasts with the phenomenon to be studied (atmospheric gravity waves), which have periods of a few tens of minutes at most and amplitudes typically one or two orders of magnitude smaller than for synoptic systems. The trend removal procedure is relevant to many more situations than the analysis of meteorological pressure data.</t>
  </si>
  <si>
    <t>Univ Sheffield, Sch Math &amp; Stat, Sheffield, S Yorkshire, England</t>
  </si>
  <si>
    <t>University of Sheffield</t>
  </si>
  <si>
    <t>Denholm-Price, JCW (corresponding author), Univ Sheffield, Sch Math &amp; Stat, Sheffield, S Yorkshire, England.</t>
  </si>
  <si>
    <t>10.1023/A:1000566921106</t>
  </si>
  <si>
    <t>WOS:000072604200009</t>
  </si>
  <si>
    <t>Absher, TM; Feijó, AR</t>
  </si>
  <si>
    <t>Morphology and ecology of bivalve molluscs from Admiralty Bay, King George Island, Antarctica</t>
  </si>
  <si>
    <t>BRAZILIAN ARCHIVES OF BIOLOGY AND TECHNOLOGY</t>
  </si>
  <si>
    <t>bivalve species; Antarctic bivalves; King George Island; Antarctica</t>
  </si>
  <si>
    <t>COLD WATER; FAUNA</t>
  </si>
  <si>
    <t>Bivalve species were collected from shallow coastal areas of King George Island (Martel, Mackellar and Ezcurra inlets of Amiralty Bay). Twenty one species belonging to 16 genera and 12 families were identified and their morphometric and morphological shell characteristics were described. Three main characteristics were found to be common to the majority of the bivalve species sampled: 1) thin fragile shells; 2) small size of individuals (76%), and 3) the lack of true cardinal teeth (72%). Comparison of calcium data from a tropical estuary and a subantarctic coastal shallow area suggested that the calcium in the sea water was not a constraint to shell building but shell thickness could be an adaptation to the efficiency of energy partitioning. Small individual size and the lack of true cardinal teeth are discussed in relation to a high deposition environment and widespread mud bottoms.</t>
  </si>
  <si>
    <t>Univ Fed Parana, Ctr Estudos Mar, BR-83255000 Pontal So Sul, PR, Brazil</t>
  </si>
  <si>
    <t>Universidade Federal do Parana</t>
  </si>
  <si>
    <t>Absher, TM (corresponding author), Univ Fed Parana, Ctr Estudos Mar, Av Beira Mar S-N, BR-83255000 Pontal So Sul, PR, Brazil.</t>
  </si>
  <si>
    <t>INST TECNOLOGIA PARANA</t>
  </si>
  <si>
    <t>CURITIBA-PARANA</t>
  </si>
  <si>
    <t>RUA PROF ALGACYR MUNHOZ MADER 3775-CIC, 81350-010 CURITIBA-PARANA, BRAZIL</t>
  </si>
  <si>
    <t>0365-0979</t>
  </si>
  <si>
    <t>BRAZ ARCH BIOL TECHN</t>
  </si>
  <si>
    <t>Braz. Arch. Biol. Technol.</t>
  </si>
  <si>
    <t>10.1590/S1516-89131998000400008</t>
  </si>
  <si>
    <t>198YC</t>
  </si>
  <si>
    <t>gold, Green Submitted</t>
  </si>
  <si>
    <t>WOS:000080451200008</t>
  </si>
  <si>
    <t>Stibor, M; Russell, NJ; Kralova, B</t>
  </si>
  <si>
    <t>Alcohol dehydrogenase from an Antarctic bacterium</t>
  </si>
  <si>
    <t>CHEMICAL PAPERS</t>
  </si>
  <si>
    <t>XVI Biochemical Congress of the Slovak-and-Czech-Society-of-Biochemistry-and-Molecular-Biology</t>
  </si>
  <si>
    <t>OCT 12-15, 1998</t>
  </si>
  <si>
    <t>STARA LESNA, SLOVAKIA</t>
  </si>
  <si>
    <t>Inst Chem Technol, Dept Biochem &amp; Microbiol, CZ-16628 Prague, Czech Republic; Univ London Wye Coll, Dept Biol Sci, Ashford TN25 5AH, Kent, England</t>
  </si>
  <si>
    <t>University of Chemistry &amp; Technology, Prague; Imperial College London</t>
  </si>
  <si>
    <t>Stibor, M (corresponding author), Inst Chem Technol, Dept Biochem &amp; Microbiol, Technicka 5, CZ-16628 Prague, Czech Republic.</t>
  </si>
  <si>
    <t>VERSITA</t>
  </si>
  <si>
    <t>SOLIPSKA 14A-1, 02-482 WARSAW, POLAND</t>
  </si>
  <si>
    <t>0366-6352</t>
  </si>
  <si>
    <t>CHEM PAP</t>
  </si>
  <si>
    <t>Chem. Pap.</t>
  </si>
  <si>
    <t>SI</t>
  </si>
  <si>
    <t>Chemistry, Multidisciplinary</t>
  </si>
  <si>
    <t>Science Citation Index Expanded (SCI-EXPANDED); Conference Proceedings Citation Index - Science (CPCI-S)</t>
  </si>
  <si>
    <t>133DT</t>
  </si>
  <si>
    <t>WOS:000076671700084</t>
  </si>
  <si>
    <t>Persiantseva, NM; Popovicheva, OB; Rakhimova, TV</t>
  </si>
  <si>
    <t>Mass spectrometric studies of the efficiency of absorption of HCl molecules by ice under atmospheric conditions</t>
  </si>
  <si>
    <t>CHEMICAL PHYSICS REPORTS</t>
  </si>
  <si>
    <t>POLAR STRATOSPHERIC CLOUDS; NITRIC-ACID; HETEROGENEOUS REACTIONS; HYDROGEN-CHLORIDE; ANTARCTIC OZONE; WATER-ICE; DOPED-ICE; SURFACES; PARTICLES; DEPLETION</t>
  </si>
  <si>
    <t>An experimental apparatus comprising a reactor of the Knudsen cell type is designed and a technique of mass spectroscopic measurements and preparation of ice films with a surface area close to the geometric one suitable for studying heterogeneous reactions most important in the chemistry of atmosphere is developed. Interaction of HCl molecules with ice is investigated within a vast vapor pressure range p = 10(-7)-10(-4) Torr at ice temperatures varying between 150 and 240 K. Experiments show that three different regions can be distinguished in the temperature dependence of the efficiency of absorption of HCl. molecules by a gamma polycrystalline ice film, which points to changes in the structure and state of the ice surface caused by an increase in the HCl vapor pressure. A comparison with the literature data demonstrates that the low value of gamma equivalent to 0.5 +/- 0.1 suggests formation of HCl:6H(2)O hexahydrate in ice, while the highest value of gamma equivalent to 0.8 +/- 0.1 is observed when a liquid or amorphous solid H2O:HCl = 4:1 state appears. The dynamics of absorption of HCl molecules by ice is analyzed. The HCl absorption by a polycrystalline ice film is shown to be essentially of the bulk nature controlled by HCl diffusion in ice. Observation of long-time steady state vapor adsorption indicates that equilibrium between adsorption of HCl molecules and their sink inward the ice bulk sets in. The results obtained are applied to analyze the efficiency of adsorption by ice particles under atmospheric conditions inherent in altitudes of 10-22 km.</t>
  </si>
  <si>
    <t>Moscow MV Lomonosov State Univ, Nucl Phys Res Inst, Moscow 117234, Russia</t>
  </si>
  <si>
    <t>Lomonosov Moscow State University</t>
  </si>
  <si>
    <t>Persiantseva, NM (corresponding author), Moscow MV Lomonosov State Univ, Nucl Phys Res Inst, Moscow 117234, Russia.</t>
  </si>
  <si>
    <t>Persiantseva, Natalia M/I-5059-2012; Popovicheva, Olga/E-1182-2012; Rakhimova, Tatyana/E-2039-2012</t>
  </si>
  <si>
    <t>Rakhimova, Tatyana/0000-0003-3539-4823</t>
  </si>
  <si>
    <t>GORDON BREACH SCI PUBL LTD</t>
  </si>
  <si>
    <t>READING</t>
  </si>
  <si>
    <t>C/O STBS LTD, PO BOX 90, READING RG1 8JL, BERKS, ENGLAND</t>
  </si>
  <si>
    <t>1074-1550</t>
  </si>
  <si>
    <t>CHEM PHYS REP+</t>
  </si>
  <si>
    <t>Chem. Phys. Rep.</t>
  </si>
  <si>
    <t>Physics, Atomic, Molecular &amp; Chemical</t>
  </si>
  <si>
    <t>Physics</t>
  </si>
  <si>
    <t>263BD</t>
  </si>
  <si>
    <t>WOS:000084102000013</t>
  </si>
  <si>
    <t>Austin, J</t>
  </si>
  <si>
    <t>Rees, D</t>
  </si>
  <si>
    <t>Some ideas on the further development of a stratospheric ozone climatology</t>
  </si>
  <si>
    <t>CIRA PART III REFERENCE ATMOSPHERES - TRACE CONSTITUENT MODELS - COMPARISON WITH LATEST DATA</t>
  </si>
  <si>
    <t>C4 3 Symposium of the COSPAR Scientific Commission C on CIRA Part III Reference Atmospheres : Trace Constituent Models - Comparison with Latest Data at the 31st COSPAR</t>
  </si>
  <si>
    <t>POLAR VORTEX; SOUTH-POLE; RECONSTRUCTION; ANTARCTICA; DEPLETION; TRENDS; ER-2</t>
  </si>
  <si>
    <t>As ozone plays a central role in stratospheric chemistry a complete climatology of the molecule is essential. Due to the increased amount of ozone data available in recent years, there are several aspects of the measurements that have only recently become clear. These are (i) high latitude ozone minima at about 30 km over both the Arctic and Antarctic, (ii) diurnal variations of ozone, and (iii) the advantages of dynamically based coordinates. Although previously seen as a weak feature in satellite data, it has now become clear that minima in ozone occur at about 30km in both regions during much of the year. The more extensive ozone database has also allowed the determination of ozone diurnal variations, particularly from satellite data. Finally, as ozone in the lower and middle stratosphere is strongly influenced by transport and that transport is frequently zonally asymmetric, a climatology of ozone based on latitude-pressure coordinates should be reviewed. These three aspects will be explored using published material supplemented by results from the Met. Office three-dimensional model. It is argued that all three aspects should be included in an ozone climatology. (C) 1998 COSPAR. Published by Elsevier Science Ltd.</t>
  </si>
  <si>
    <t>UK Meteorol Off, Bracknell, Berks, England</t>
  </si>
  <si>
    <t>Met Office - UK</t>
  </si>
  <si>
    <t>Austin, J (corresponding author), UK Meteorol Off, London Rd, Bracknell, Berks, England.</t>
  </si>
  <si>
    <t>0-08-043463-0</t>
  </si>
  <si>
    <t>10.1016/S0273-1177(97)00747-3</t>
  </si>
  <si>
    <t>BL14H</t>
  </si>
  <si>
    <t>WOS:000074437400005</t>
  </si>
  <si>
    <t>Gille, JC; Lyjak, LV; Bailey, PL; Roche, AE; Kumer, JB; Mergenthaler, JL</t>
  </si>
  <si>
    <t>Update to the stratospheric nitric acid reference atmosphere</t>
  </si>
  <si>
    <t>CLAES</t>
  </si>
  <si>
    <t>Observations of the global distribution of nitric acid (HNO3) obtained by the Cryogenic Limb Array Etalon Spectrometer (CLAES) instrument on the Upper Atmospheric Research Satellite (UARS) have considerably extended our knowledge of its spatial and temporal distribution. The data span 16 months, and extend to 80 degrees S, within the Antarctic vortex during southern winter. The evaluation of the accuracy, precision, and resolution of these data are briefly described. The zonal mean distribution of nitric acid is characterized by a stratospheric layer with largest mixing ratios near 30 hPa in polar regions, sloping up to a slightly higher altitude but low mixing ratios in the tropics. New features are regions of very low nitric acid within the Antarctic vortex, and sensitivity to stratospheric aerosol concentration. (C) 1998 COSPAR. Published by Elsevier Science Ltd.</t>
  </si>
  <si>
    <t>Natl Ctr Atmospher Res, Boulder, CO 80307 USA</t>
  </si>
  <si>
    <t>National Center Atmospheric Research (NCAR) - USA</t>
  </si>
  <si>
    <t>Gille, JC (corresponding author), Natl Ctr Atmospher Res, Pob 3000, Boulder, CO 80307 USA.</t>
  </si>
  <si>
    <t>10.1016/S0273-1177(97)00748-5</t>
  </si>
  <si>
    <t>WOS:000074437400006</t>
  </si>
  <si>
    <t>Simmonds, I; Walland, DJ</t>
  </si>
  <si>
    <t>Decadal and centennial variability of the southern semiannual oscillation simulated in the GFDL coupled GCM</t>
  </si>
  <si>
    <t>ANNUAL CYCLE; HEMISPHERE; CIRCULATION; MODEL; CLIMATOLOGY; SENSITIVITY; CYCLONES; ICE</t>
  </si>
  <si>
    <t>We investigate the behavior of the semiannual oscillation (SAG) in surface pressure and 500 hPa baroclinicity at high southern latitudes in a 1000-year GFDL coupled ocean-atmosphere GCM run. The model represents this feature but is shown to underestimate its amplitude and percentage of variance explained in the midlatitudes. South of 60 degrees S the simulation of the pressure oscillation, although somewhat too weak, is considerably better. Our analysis reveals significant interannual, decadal and centennial variability in the modeled SAG. While there is only a short historical record of observational data in the middle and high southern latitudes, existing studies suggest that the strength of the SAO does show significant variability on at least the first two of these time scales. Strong relationships between the semiannual cycles of surface pressure and baroclinicity are apparent in the model output, reinforcing the findings in earlier studies that the differing annual march of temperature between the midlatitudes and the Antarctic coast leads to a semiannual component in the baroclinicity and thence the surface pressure. We draw attention to extended periods when the model SAO is weak and strong, and have investigated the nature of the circulation during each period. The GFDL model results suggest that a significant proportion of the SAO variation was associated more with Variations in the strength of the winter pressure maximum rather than the springtime minimum. The extent to which this and other aspects of the modeled longterm variability are related to actual atmospheric structure must await the availability of longer data records.</t>
  </si>
  <si>
    <t>ZD938</t>
  </si>
  <si>
    <t>WOS:000072740800004</t>
  </si>
  <si>
    <t>Thulin, FA</t>
  </si>
  <si>
    <t>Newcomb, DE</t>
  </si>
  <si>
    <t>Cold formed steel arches for Antarctica</t>
  </si>
  <si>
    <t>COLD REGIONS IMPACT ON CIVIL WORKS</t>
  </si>
  <si>
    <t>9th International Conference on Cold Regions Engineering</t>
  </si>
  <si>
    <t>SEP 27-30, 1998</t>
  </si>
  <si>
    <t>DULUTH, MN</t>
  </si>
  <si>
    <t>This paper describes arch-shaped cold formed steel structures needed to protect essential facilities in the Antarctic Polar Regions.</t>
  </si>
  <si>
    <t>Appl Design Associates Ltd, Mt Prospect, IL 60056 USA</t>
  </si>
  <si>
    <t>Thulin, FA (corresponding author), Appl Design Associates Ltd, 200 E Evergreen Ave, Mt Prospect, IL 60056 USA.</t>
  </si>
  <si>
    <t>AMER SOC CIVIL ENGINEERS</t>
  </si>
  <si>
    <t>UNITED ENGINEERING CENTER, 345 E 47TH ST, NEW YORK, NY 10017-2398 USA</t>
  </si>
  <si>
    <t>0-7844-0379-1</t>
  </si>
  <si>
    <t>Engineering, Civil; Engineering, Geological</t>
  </si>
  <si>
    <t>Engineering</t>
  </si>
  <si>
    <t>BN19S</t>
  </si>
  <si>
    <t>WOS:000081048500051</t>
  </si>
  <si>
    <t>Guinard, E; Weimerskirch, H; Jouventin, P</t>
  </si>
  <si>
    <t>Population changes and demography of the Northern Rockhopper Penguin on Amsterdam and Saint Paul islands</t>
  </si>
  <si>
    <t>COLONIAL WATERBIRDS</t>
  </si>
  <si>
    <t>Amsterdam and Saint Paul islands; demography; Eudyptes chrysocome moseleyi; Northern Rockhopper Penguin; population trends; survival</t>
  </si>
  <si>
    <t>EUDYPTES-CHRYSOCOME; SOUTHERN-OCEAN; CROZET</t>
  </si>
  <si>
    <t>We investigated changes in population size and demography of the Northern Rockhopper Penguin (Eudyptes chrysocome moseleyi) between 1971 and 1995 on Amsterdam and Saint Paul islands. During an intensive survey between 1993 and 1995, breeding success was similar to that reported from other sites, although the first egg (A-egg) loss rate was lower on Amsterdam Island than at other localities. The mean age of first return to the breeding site and of first reproduction were respectively (X) over bar = 4.2 +/- SD of 2.1 years and (X) over bar = 4.7 +/- SD of 1.7 years. The adult survival rate, calculated between 1988 and 1993, was significantly lower one year after banding [(X) over bar = 72.2 +/- SD of 1.6%] than in subsequent years [(X) over bar = 84.0 +/- SD of 1.1%] due to the effect of banding. Immature survival rate was estimated at 39% during the first year after banding. Two birds banded as chicks have been found in Australia, suggesting that immatures winter off Souther Australia. The population on Amsterdam Island decreased at a rate of 2.7% per year between 1971 and 1993. Using the demographic parameters measured, we calculated a modelled rate of increase of 0.943. Between 1982 to 1993, mean sea surface temperature near Amsterdam and Saint Paul islands decreased significantly, and this change was significantly related to the decline of Amsterdam Island population during the same period. Mean sea surface temperature decline could affect the Rockhopper Penguin population through changes of distribution and abundance of prey. Other factors such as the large increase of the Sub-Antarctic Fur Seal population at Amsterdam Island between 1971 and 1993 could have reduced the penguin population. Between 1971 and 1993, the Saint Paul population of penguins increased by 5.5% per year, but this is not significantly related to the mea sea surface temperature decrease. This small Rockhopper Penguin population may still be recovering to its level before exploitation in the 1930s.</t>
  </si>
  <si>
    <t>Ctr Etud Biol Chize, CNRS, F-79360 Beauvoir Sur Niort, France</t>
  </si>
  <si>
    <t>Ctr Etud Biol Chize, CNRS, F-79360 Beauvoir Sur Niort, France.</t>
  </si>
  <si>
    <t>henriw@ccbc.cnrs.fr</t>
  </si>
  <si>
    <t>Weimerskirch, Henri/K-7306-2019; Weimerskirch, Henri/F-5562-2013</t>
  </si>
  <si>
    <t>Weimerskirch, Henri/0000-0002-0457-586X;</t>
  </si>
  <si>
    <t>WATERBIRD SOC</t>
  </si>
  <si>
    <t>NATL MUSEUM NATURAL HISTORY SMITHSONIAN INST, WASHINGTON, DC 20560 USA</t>
  </si>
  <si>
    <t>0738-6028</t>
  </si>
  <si>
    <t>COLON WATERBIRD</t>
  </si>
  <si>
    <t>Colon. Waterbirds</t>
  </si>
  <si>
    <t>10.2307/1521909</t>
  </si>
  <si>
    <t>Ecology; Ornithology</t>
  </si>
  <si>
    <t>Environmental Sciences &amp; Ecology; Zoology</t>
  </si>
  <si>
    <t>158XY</t>
  </si>
  <si>
    <t>WOS:000078143800011</t>
  </si>
  <si>
    <t>Rankin, JC; Tuurala, H</t>
  </si>
  <si>
    <t>Gills of Antarctic fish</t>
  </si>
  <si>
    <t>COMPARATIVE BIOCHEMISTRY AND PHYSIOLOGY A-MOLECULAR &amp; INTEGRATIVE PHYSIOLOGY</t>
  </si>
  <si>
    <t>Annual Meeting of the Society-for-Experimental-Biology on Structure and Function in Comparative Physiology - a Tribute to Pierre Laurent</t>
  </si>
  <si>
    <t>MAR 25-26, 1996</t>
  </si>
  <si>
    <t>UNIV LANCASTER, LANCASTER, ENGLAND</t>
  </si>
  <si>
    <t>UNIV LANCASTER</t>
  </si>
  <si>
    <t>icefish; gill structure; gill circulation; perfusion; water fluxes; catecholamine; pillar cells; lamellar recruitment</t>
  </si>
  <si>
    <t>ICEFISH CHAENOCEPHALUS-ACERATUS; ISOLATED PERFUSED GILL; HEMOGLOBIN-FREE FISH; RAINBOW-TROUT SALMO; ANGUILLA-ANGUILLA L; VASCULAR-RESISTANCE; OXYGEN-UPTAKE; CIRCULATORY RESPONSES; OPHIODON-ELONGATUS; EUROPEAN EEL</t>
  </si>
  <si>
    <t>We review the literature on the way the structure of icefish gills relates the physiology of these haemoglobin-less fishes. Vascular casting confirmed earlier reports that the only special feature of the gills is the large size of the blood vessels, especially the prominent and continuous marginal channels Isolated perfused gill arches were used to study the effects of changes in afferent and efferent pressure on gill resistance and tritiated water influx in Chionobathyscus dewitti. Increasing perfusion rate did not change gill resistance, but there were moderate proportional increases in water influx. Reducing efferent pressure increased gill resistance but did not affect water influx. In both C. dewitti and Cryodraco antarcticus gills perfused at constant flow rate, noradrenaline produced concentration-dependent decreases in gill resistance and, with high concentrations, increases in water influx. Fixation while perfusion continued was used to compare blood space dimensions in control, noradrenaline-created and unperfused gills. Noradrenaline caused large increases in the thickness of the lamellar blood space and increased lamellar height, despite a greatly reduced afferent pressure. This suggests that modulation of pillar cell active tension might be involved in control of lamellar perfusion. The possible relationship between gill water fluxes and lamellar recruitment is discussed. COMP BIOCHEM PHYSIOL 119A;1:149-163, 1998. (C) 1998 Elsevier Science Inc.</t>
  </si>
  <si>
    <t>Odense Univ, Inst Biol, DK-5230 Odense M, Denmark; Univ Helsinki, Dept Zool, SF-00100 Helsinki, Finland</t>
  </si>
  <si>
    <t>University of Southern Denmark; University of Helsinki</t>
  </si>
  <si>
    <t>Rankin, JC (corresponding author), Odense Univ, Inst Biol, Campusvej 55, DK-5230 Odense M, Denmark.</t>
  </si>
  <si>
    <t>cliffr@biology.ou.dk</t>
  </si>
  <si>
    <t>ELSEVIER SCIENCE INC</t>
  </si>
  <si>
    <t>360 PARK AVE SOUTH, NEW YORK, NY 10010-1710 USA</t>
  </si>
  <si>
    <t>1095-6433</t>
  </si>
  <si>
    <t>1531-4332</t>
  </si>
  <si>
    <t>COMP BIOCHEM PHYS A</t>
  </si>
  <si>
    <t>Comp. Biochem. Physiol. A-Mol. Integr. Physiol.</t>
  </si>
  <si>
    <t>10.1016/S1095-6433(97)00396-6</t>
  </si>
  <si>
    <t>Biochemistry &amp; Molecular Biology; Physiology; Zoology</t>
  </si>
  <si>
    <t>ZZ685</t>
  </si>
  <si>
    <t>WOS:000074756400018</t>
  </si>
  <si>
    <t>Davison, PS; Jonas, PR; Lachlan-Cope, T</t>
  </si>
  <si>
    <t>AMER METEOROL SOC; AMER METEOROL SOC; AMER METEOROL SOC; AMER METEOROL SOC</t>
  </si>
  <si>
    <t>Antarctic precipitation processes</t>
  </si>
  <si>
    <t>CONFERENCE ON CLOUD PHYSICS</t>
  </si>
  <si>
    <t>14th Conference on Planned and Inadvertent Weather Modification</t>
  </si>
  <si>
    <t>AUG 17-21, 1998</t>
  </si>
  <si>
    <t>EVERETT, WA</t>
  </si>
  <si>
    <t>Univ Manchester, Inst Sci &amp; Technol, Dept Phys, Manchester M60 1QD, Lancs, England</t>
  </si>
  <si>
    <t>University of Manchester</t>
  </si>
  <si>
    <t>Davison, PS (corresponding author), Univ Manchester, Inst Sci &amp; Technol, Dept Phys, POB 88, Manchester M60 1QD, Lancs, England.</t>
  </si>
  <si>
    <t>AMER METEOROLOGICAL SOCIETY</t>
  </si>
  <si>
    <t>45 BEACON ST, BOSTON, MA 02108 USA</t>
  </si>
  <si>
    <t>BM52Y</t>
  </si>
  <si>
    <t>WOS:000079027100040</t>
  </si>
  <si>
    <t>Morales-Nin, B; Garcia, MA; Lopez, O</t>
  </si>
  <si>
    <t>Distribution of larval and juvenile Nototheniops larseni and Pleuragramma antarcticum off the Antarctic Peninsula in relation to oceanographic conditions</t>
  </si>
  <si>
    <t>CYBIUM</t>
  </si>
  <si>
    <t>Nototheniidae; Nototheniops larseni; Pleuragramma antarcticum; Antarctica; Bransfield Strait; larvae; vertical distribution</t>
  </si>
  <si>
    <t>BRANSFIELD STRAIT REGION; ABUNDANCE; FISH; WATERS</t>
  </si>
  <si>
    <t>The vertical and spatial distribution of Pleuragramma antarcticum and Nototheniops larseni in the Bransfield Strait was studied during the BIOANTAR 93 cruise performed from RV Hesperides in Antarctic summer 1992/93. A multiple plankton net (Bioness) and a Bongo net were used to collect samples at 75 stations and one 24 h station. A number of depth layers (400-200, 200-150, 150-100, 50-20, 20-0 m) were sampled depending on the station. The water temperature and salinity profiles were analyzed to determine the association of species with water masses. Our data showed that the abundance of both Pleuragramma antarcticum and Nototheniops larseni is related to temperature. Abundance values exceeding 5 larvae/10(3)m(3) were seldom found when the temperature was less than 0 degrees C. The relationship between larvae abundance and salinity seems to be inverse, although this result might be biased by the geographical distribution of stations and of sampled layers. In a 24 h station placed between Gerlache and Bransfield Strait, the most abundant fish larvae was Pleuragramma antarcticum, which were mainly found between 100-50 m and in warm waters ( &gt; 0 degrees C). The daily migration of larvae in the vertical did not appear to be controlled by the oscillation of the pycnocline.</t>
  </si>
  <si>
    <t>CSIC, UIB, Inst Mediterrani Estudis Avancats, Palma de Mallorca 07070, Spain; Univ Politecn Catalunya, Lab Engn Maritima, ES-08034 Barcelona, Spain</t>
  </si>
  <si>
    <t>Consejo Superior de Investigaciones Cientificas (CSIC); ATTITUS Educacao; Universitat de les Illes Balears; Universitat Politecnica de Catalunya</t>
  </si>
  <si>
    <t>Morales-Nin, B (corresponding author), CSIC, UIB, Inst Mediterrani Estudis Avancats, Ctr Valldemossa Km 7-5, Palma de Mallorca 07070, Spain.</t>
  </si>
  <si>
    <t>Morales-Nin, Beatriz/0000-0002-7264-0918</t>
  </si>
  <si>
    <t>SOC FRANCAISE D ICHTYOLOGIE</t>
  </si>
  <si>
    <t>PARIS CEDEX 05</t>
  </si>
  <si>
    <t>MUSEUM NATL D HISTOIRE NATURELLE, 43 RUE CUVIER, 75231 PARIS CEDEX 05, FRANCE</t>
  </si>
  <si>
    <t>0399-0974</t>
  </si>
  <si>
    <t>Cybium</t>
  </si>
  <si>
    <t>ZR844</t>
  </si>
  <si>
    <t>WOS:000074020200009</t>
  </si>
  <si>
    <t>Andriashev, AP</t>
  </si>
  <si>
    <t>A review of recent studies of Southern Ocean Liparidae (Teleostei: Scorpaeniformes)</t>
  </si>
  <si>
    <t>Liparidae; PSE; PSW; Antarctic; Southern Ocean; pectoral girdle; depth distribution</t>
  </si>
  <si>
    <t>At present about 90 species of 7 genera of Liparidae fishes are discovered and described from the Southern Ocean and adjacent waters. Reducing trend in the morphological transformation of the pectoral girdle during evolution of Careproctus and Paraliparis in depths of the Southern Ocean is traced. Bathymetric analysis shows that species of Careproctus are distributed in the Antarctic in much deeper water than Paraliparis. The problem of origin and depth distribution of the southern Liparidae is discussed.</t>
  </si>
  <si>
    <t>Russian Acad Sci, Inst Zool, St Petersburg 199034, Russia</t>
  </si>
  <si>
    <t>Russian Academy of Sciences; Zoological Institute of the Russian Academy of Sciences</t>
  </si>
  <si>
    <t>Andriashev, AP (corresponding author), Russian Acad Sci, Inst Zool, St Petersburg 199034, Russia.</t>
  </si>
  <si>
    <t>139WZ</t>
  </si>
  <si>
    <t>WOS:000077055400006</t>
  </si>
  <si>
    <t>Pisano, E; Ozouf-Costaz, C</t>
  </si>
  <si>
    <t>Chromosome diversification and the evolution of notothenioid Antarctic fishes</t>
  </si>
  <si>
    <t>CYTOGENETICS AND CELL GENETICS</t>
  </si>
  <si>
    <t>Univ Genoa, Inst Comparat Anat, I-16132 Genoa, Italy; Museum Natl Hist Nat, F-75231 Paris 05, France</t>
  </si>
  <si>
    <t>University of Genoa; Museum National d'Histoire Naturelle (MNHN)</t>
  </si>
  <si>
    <t>KARGER</t>
  </si>
  <si>
    <t>BASEL</t>
  </si>
  <si>
    <t>ALLSCHWILERSTRASSE 10, CH-4009 BASEL, SWITZERLAND</t>
  </si>
  <si>
    <t>0301-0171</t>
  </si>
  <si>
    <t>CYTOGENET CELL GENET</t>
  </si>
  <si>
    <t>Cytogenet. Cell Genet.</t>
  </si>
  <si>
    <t>P109</t>
  </si>
  <si>
    <t>Cell Biology; Genetics &amp; Heredity</t>
  </si>
  <si>
    <t>115GH</t>
  </si>
  <si>
    <t>WOS:000075654800134</t>
  </si>
  <si>
    <t>Brierley, AS; Ward, P; Watkins, JL; Goss, C</t>
  </si>
  <si>
    <t>Acoustic discrimination of Southern Ocean zooplankton</t>
  </si>
  <si>
    <t>DEEP-SEA RESEARCH PART II-TOPICAL STUDIES IN OCEANOGRAPHY</t>
  </si>
  <si>
    <t>KRILL EUPHAUSIA-SUPERBA; SOUND-SCATTERING LAYERS; ANTARCTIC KRILL; BACKSCATTERING STRENGTH; SPECIES IDENTIFICATION; VERTICAL MIGRATION; TARGET STRENGTH; FINE-STRUCTURE; FISH SCHOOLS; ABUNDANCE</t>
  </si>
  <si>
    <t>Acoustic surveys in the vicinity of the sub-Antarctic island of South Georgia during a period of exceptionally calm weather revealed the existence of a number of horizontally extensive yet vertically discrete scattering layers in the upper 250 m of the water column. These layers were fished with a Longhurst-Hardy plankton recorder (LHPR) and a multiple-opening 8 m(2) rectangular mid-water trawl (RMT8). Analysis of catches suggested that each scattering layer was composed predominantly of a single species (biovolume &gt; 95%) of either the euphausiids Euphausia frigida or Thysanoessa macrura, the hyperiid amphipod Themisto gaudichaudii, or the eucalaniid copepod Rhincalanus gigas. Instrumentation on the nets allowed their trajectories to be reconstructed precisely, and thus catch data to be related directly to the corresponding acoustic signals. Discriminant function analysis of differences between mean volume backscattering strength at 38, 120 and 200 kHz separated echoes originating from each of the dominant scattering layers, and other signals identified as originating from Antarctic krill (Euphausia superba), with an overall correct classification rate of 77%. Using echo intensity data alone, gathered using hardware commonly employed for fishery acoustics, it is therefore possible to discriminate in situ between several zooplanktonic taxa, taxa which in some instances exhibit similar gross morphological characteristics and have overlapping length-frequency distributions. Acoustic signals from the mysid Antarctomysis maxima could also be discriminated once information on target distribution was considered, highlighting the value of incorporating multiple descriptors of echo characteristics into signal identification procedures. The ability to discriminate acoustically between zooplankton taxa could be applied to provide improved acoustic estimates of species abundance, and to enhance field studies of zooplankton ecology, distribution and species interactions. (C) 1998 Elsevier Science Ltd. All rights reserved.</t>
  </si>
  <si>
    <t>Brierley, AS (corresponding author), British Antarctic Survey, NERC, High Cross,Madingley Rd, Cambridge CB3 0ET, England.</t>
  </si>
  <si>
    <t>a.brierley@bas.ac.uk</t>
  </si>
  <si>
    <t>Brierley, Andrew/G-8019-2011</t>
  </si>
  <si>
    <t>Brierley, Andrew/0000-0002-6438-6892</t>
  </si>
  <si>
    <t>0967-0645</t>
  </si>
  <si>
    <t>DEEP-SEA RES PT II</t>
  </si>
  <si>
    <t>Deep-Sea Res. Part II-Top. Stud. Oceanogr.</t>
  </si>
  <si>
    <t>+</t>
  </si>
  <si>
    <t>10.1016/S0967-0645(98)00025-3</t>
  </si>
  <si>
    <t>145ZW</t>
  </si>
  <si>
    <t>WOS:000077403600002</t>
  </si>
  <si>
    <t>McGehee, DE; O'Driscoll, RL; Traykovski, LVM</t>
  </si>
  <si>
    <t>Effects of orientation on acoustic scattering from Antarctic krill at 120 kHz</t>
  </si>
  <si>
    <t>EUPHAUSIA-SUPERBA; SOUND-SCATTERING; TARGET STRENGTH; FLUID CYLINDERS; FINITE LENGTH; ZOOPLANKTON; BACKSCATTERING; ABUNDANCE; SHRINKAGE; BEHAVIOR</t>
  </si>
  <si>
    <t>Backscattering measurements of 14 live individual Antarctic krill (Euphausia superba) were made at a frequency of 120 kHz in a chilled insulated tank at the Long Marine Laboratory in Santa Cruz, CA. Individual animals were suspended in front of the transducers, were only loosely constrained, had substantial freedom to move, and showed more or less random orientation. One thousand echoes were collected per animal. Orientation data were recorded on video, The acoustic data were analyzed and target strengths determined from each echo. A method was developed for estimating the three-dimensional orientation of the krill based on the video images and was applied to five of them, giving their target strengths as functions of orientation. Scattering models based on a simplified distorted-wave Born approximation (DWBA) method were developed for five animals and compared with the measurements. Both measured and modeled scattering patterns showed that 120 kHz acoustic scattering levels are highly dependent on animal orientation. Use of these scattering patterns with orientation data from shipboard studies of E. superba gave mean scattering levels approximately 12 dB lower than peak levels. These results underscore the need for better in situ behavioral data to properly interpret acoustic survey results. A generic E. superba DWBA scattering model is proposed that is scalable by animal length. With good orientation information, this model could significantly improve the precision and accuracy of krill acoustic surveys. (C) 1998 Elsevier Science Ltd. All rights reserved.</t>
  </si>
  <si>
    <t>Woods Hole Oceanog Inst, MIT, Joint Program Oceanog &amp; Appl Ocean Sci &amp; Engn, Woods Hole, MA 02543 USA; Univ Otago, Dept Marine Sci, Dunedin, New Zealand</t>
  </si>
  <si>
    <t>Massachusetts Institute of Technology (MIT); Woods Hole Oceanographic Institution; University of Otago</t>
  </si>
  <si>
    <t>McGehee, DE (corresponding author), Tracor Appl Sci, 4669 Murphy Canyon Rd,Suite 102, San Diego, CA 92123 USA.</t>
  </si>
  <si>
    <t>10.1016/S0967-0645(98)00036-8</t>
  </si>
  <si>
    <t>WOS:000077403600008</t>
  </si>
  <si>
    <t>Ohman, MD; Drits, AV; Clarke, ME; Plourde, S</t>
  </si>
  <si>
    <t>Differential dormancy of co-occurring copepods</t>
  </si>
  <si>
    <t>CALIFORNIA CURRENT SYSTEM; METABOLIC ENZYME-ACTIVITIES; COMPARATIVE LIFE-HISTORIES; SUB-ANTARCTIC COPEPOD; SANTA-BARBARA BASIN; CALANUS-PACIFICUS; LIPID STORAGE; SOUTHERN CALIFORNIA; SUBARCTIC PACIFIC; NEOCALANUS-TONSUS</t>
  </si>
  <si>
    <t>Four species of planktonic calanoid copepods that co-occur in the California Current System (Eucalanus californicus Johnson, Rhincalanus nasutus Giesbrecht, Calanus pacificus californicus Brodsky, and Metridia pacifica Brodsky) were investigated for evidence of seasonal dormancy in the San Diego Trough. Indices used to differentiate actively growing from dormant animals included developmental stage structure and vertical distribution; activity of aerobic metabolic enzymes (Citrate Synthase and the Electron Transfer System complex); investment in depot lipids (wax esters and triacylglycerols); in situ grazing activity from gut fluorescence; and egg production rates in simulated in situ conditions. None of the 4 species exhibited a canonical calanoid pattern of winter dormancy - i.e., synchronous developmental arrest as copepodid stage V, descent into deep waters, reduced metabolism, and lack of winter reproduction. Instead, Calanus pacificus californicus has a biphasic life history in this region, with an actively reproducing segment of the population in surface waters overlying a deep dormant segment in winter. Eucalanus californicus is dormant as both adult females and copepodid V's, although winter females respond relatively rapidly to elevated food and temperature conditions; they begin feeding and producing eggs within 2-3 days. Rhincalanus nasutus appears to enter dormancy as adult females, although the evidence is equivocal. Metridia pacifica shows no evidence of dormancy, with sustained active feeding, diel vertical migration behavior, and elevated activity of metabolic enzymes in December as well as in June. The four species also differ markedly in water content, classes of storage lipids, and specific activity of Citrate Synthase. These results suggest that copepod dormancy traits and structural composition reflect diverse adaptations to regional environmental conditions rather than a uniform, canonical series of traits that remain invariant among taxa and fixed across a species' range. Such interspecific and regional differences in life history traits need to be incorporated in models simulating Eastern Boundary Current pelagic ecosystem dynamics. (C) 1998 Elsevier Science Ltd. All rights reserved.</t>
  </si>
  <si>
    <t>Univ Calif San Diego, Scripps Inst Oceanog, La Jolla, CA 92093 USA; PP Shirshov Oceanol Inst, Moscow 117218, Russia; Univ Miami, Rosenstiel Sch Marine &amp; Atmospher Sci, Miami, FL 33149 USA; Univ Laval, Dept Biol, Quebec City, PQ G1K 7P4, Canada</t>
  </si>
  <si>
    <t>University of California System; University of California San Diego; Scripps Institution of Oceanography; Russian Academy of Sciences; Shirshov Institute of Oceanology; University of Miami; Laval University</t>
  </si>
  <si>
    <t>Univ Calif San Diego, Scripps Inst Oceanog, La Jolla, CA 92093 USA.</t>
  </si>
  <si>
    <t>mohman@ucsd.edu</t>
  </si>
  <si>
    <t>Ohman, Mark D/C-8763-2009; Drits, Alexander/G-1171-2014</t>
  </si>
  <si>
    <t>Ohman, Mark D/0000-0001-8136-3695; Drits, Alexander/0000-0002-9210-2607</t>
  </si>
  <si>
    <t>1879-0100</t>
  </si>
  <si>
    <t>8-9</t>
  </si>
  <si>
    <t>10.1016/S0967-0645(98)80014-3</t>
  </si>
  <si>
    <t>149AB</t>
  </si>
  <si>
    <t>hybrid, Green Submitted</t>
  </si>
  <si>
    <t>WOS:000077582700013</t>
  </si>
  <si>
    <t>Livingston, FE; George, SM</t>
  </si>
  <si>
    <t>HDO diffusion kinetics in pure and acid-dosed single-crystal ice multilayers</t>
  </si>
  <si>
    <t>DEFECT AND DIFFUSION FORUM</t>
  </si>
  <si>
    <t>crystalline water; laser-induced thermal desorption (LITD); molecular solid; monocrystalline surfaces</t>
  </si>
  <si>
    <t>INDUCED THERMAL-DESORPTION; X-RAY TOPOGRAPHY; SURFACE-DIFFUSION; HETEROGENEOUS REACTIONS; POLAR STRATOSPHERE; HYDROGEN-CHLORIDE; OZONE HOLE; WATER-ICE; ADSORPTION; HCL</t>
  </si>
  <si>
    <t>This review summarizes our recent results on HDO diffusion in crystalline ice obtained using laser-induced thermal desorption (LITD) probing and isothermal desorption depth-profiling methods. These measurements are important for an understanding of diffusion in molecular solids. Ice is a prominent crystalline molecular solid. Ice also participates in the stratospheric Antarctic ozone hole by catalyzing heterogeneous reactions such as ClONO2+HCl--&gt;Cl-2+HNO3. By studying HDO diffusion in pure ice and in ice exposed to acids, such as HCl and HNO3, we can better understand the nature of ice and the effect of atmospheric species on ice. HCl exposure is observed to increase the HDO diffusion rate by a factor of similar to 10-20 compared with the HDO diffusion rate in pure crystalline ice at temperatures from 146 to 161 K. In contrast, HNO3 exposure decreases the HDO diffusion rate by a factor of similar to 30-70 compared with the HDO diffusion rate in pure crystalline ice at temperatures from 150 to 173 K. These changes are associated with the creation of defects in HCl-dosed ice and the formation of stable hydrate cages in HNO3-dosed ice.</t>
  </si>
  <si>
    <t>TRANS TECH-SCITEC PUBLICATIONS LTD</t>
  </si>
  <si>
    <t>UETIKON A.S.</t>
  </si>
  <si>
    <t>BRANDRAIN 6, CH-8707 UETIKON A.S., SWITZERLAND</t>
  </si>
  <si>
    <t>1012-0386</t>
  </si>
  <si>
    <t>DEFECT DIFFUS FORUM</t>
  </si>
  <si>
    <t>Materials Science, Multidisciplinary; Physics, Condensed Matter</t>
  </si>
  <si>
    <t>Materials Science; Physics</t>
  </si>
  <si>
    <t>138WW</t>
  </si>
  <si>
    <t>WOS:000076997200002</t>
  </si>
  <si>
    <t>Castillo, PR; Natland, JH; Niu, YL; Lonsdale, PF</t>
  </si>
  <si>
    <t>Sr, Nd and Pb isotopic variation along the Pacific-Antarctic risecrest, 53-57°S:: Implications for the composition and dynamics of the South Pacific upper mantle</t>
  </si>
  <si>
    <t>EARTH AND PLANETARY SCIENCE LETTERS</t>
  </si>
  <si>
    <t>Sr-87/Sr-86; Nd-144/Nd-143; Pb-208/Pb-204; isotope ratios; petrology; mid-ocean ridge basalts; Pacific-Antarctic Ridge; East Pacific Rise; South</t>
  </si>
  <si>
    <t>RIDGE BASALT; SEA-FLOOR; RISE; GEOCHEMISTRY; DISCORDANCE; SEAMOUNTS; HOTSPOTS; SEGMENT; SYSTEM; TRACE</t>
  </si>
  <si>
    <t>Sr, Nd and Pb isotope data for basalts from spreading axes and off-axis volcanoes near the Pacific-Antarctic risecrest, from Vacquier transform to just south of Udintsev transform, reveal an isotopically heterogeneous upper mantle. The isotopic composition of the mantle is represented by three end-members: (1) the 'depleted' source of the bulk of Pacific normal-type mid-ocean ridge basalts (N-MORB); (2) an 'enriched' source that produces basalts of the Hollister Ridge; and (3) a source, restricted to two adjacent sample locales, similar to that of Indian MORE. The distribution of these isotopic heterogeneities along the Pacific-Antarctic risecrest suggests two alternative hypotheses on the nature and dynamics of the south Pacific upper mantle. The whole area could be a single N-MORB mantle domain that shows a weak but continuous increase in Nd-143/Nd-144 from northeast to southwest across more than 2000 km of sea floor. The gradient is unrelated to the Louisville hotspot because Louisville basalts have low Nd-143/Nd-144 and the hotspot's influence along the ridge is spatially limited and near the high Nd-143/Nd-144 southwestern end of the gradient. The gradient appears consistent with a southwestward flow of the Pacific N-MORB-type mantle that has been proposed mainly on the basis of ridge morphology. That the N-MORB mantle domain is continuous across Heezen suggests that large-scale magmatic segmentation is not Sr-87/Sr-86, Delta Nd and Delta 8/4 of samples related to the largest structural offsets of the Pacific ridges. Alternatively, the higher from southwest of the Heezen transform relative to those from the northeast could result from southwestward pumping of both plume and Indian Ocean-type mantle material by the Louisville hotspot. The Heezen transform forms a prominent tectonic and mantle domain boundary that prohibits the Louisville-and Indian Ocean-type mantle from flowing towards and contaminating the depleted Pacific-type source in the northeast. (C) 1998 Elsevier Science B.V.</t>
  </si>
  <si>
    <t>Univ Calif San Diego, Scripps Inst Oceanog, La Jolla, CA 92093 USA; Univ Miami, Rosenstiel Sch Marine &amp; Atmospher Sci, Miami, FL 33149 USA; Univ Queensland, Dept Earth Sci, Brisbane, Qld 4072, Australia</t>
  </si>
  <si>
    <t>University of California System; University of California San Diego; Scripps Institution of Oceanography; University of Miami; University of Queensland</t>
  </si>
  <si>
    <t>Castillo, PR (corresponding author), Univ Calif San Diego, Scripps Inst Oceanog, 9500 Gilman Dr, La Jolla, CA 92093 USA.</t>
  </si>
  <si>
    <t>pcastillo@ucsd.edu</t>
  </si>
  <si>
    <t>Niu, Yaoling/A-5448-2008; Niu, Yaoling/GPW-9211-2022</t>
  </si>
  <si>
    <t>Niu, Yaoling/0000-0001-9488-2304;</t>
  </si>
  <si>
    <t>0012-821X</t>
  </si>
  <si>
    <t>EARTH PLANET SC LETT</t>
  </si>
  <si>
    <t>Earth Planet. Sci. Lett.</t>
  </si>
  <si>
    <t>1-4</t>
  </si>
  <si>
    <t>10.1016/S0012-821X(97)00172-6</t>
  </si>
  <si>
    <t>ZD710</t>
  </si>
  <si>
    <t>WOS:000072715700008</t>
  </si>
  <si>
    <t>Ferris, J; Johnson, A; Storey, B</t>
  </si>
  <si>
    <t>Form and extent of the Dufek intrusion, Antarctica, from newly compiled aeromagnetic data</t>
  </si>
  <si>
    <t>layered intrusion; igneous rocks; Dufek intrusion; Gondwana; extension</t>
  </si>
  <si>
    <t>The Dufek intrusion, in the northern part of the Pensacola Mountains, Antarctica, is part of an extensive, Middle Jurassic igneous province that was related to, and emplaced just prior to Gondwana break-up. It has been described as one of the largest layered gabbro intrusions in the world, and is exposed as two non-overlapping gabbro sequences in the Dufek Massif and the Forrestal Range. A new compilation of aeromagnetic data over the Dufek intrusion and surrounding region is based on mapping at two scales, a 2 km grid spacing over the Dufek intrusion, and a 6 km grid spacing over the surrounding region. Advanced processing of the data is used to produce an analytical signal and a terrace map as a basis for a new interpretation. Modelling and interpretation of the data show that the Dufek intrusion is not as extensive as was thought, and that it is more similar in size to the Stillwater Intrusion in North America, than to the Bushveld Complex in South Africa to which it has previously been compared. The reduced size of the Dufek intrusion is due to reinterpretation of an anomaly over Berkner Island, to the north of the Pensacola Mountains, as that of an uplifted basement block rather than a continuation of the Dufek intrusion. The Dufek intrusion is modelled as two separate intrusive phases of a composite intrusion. The main part is a dipping intrusive sheet displaced by a normal fault which accounts for two parallel magnetic anomalies over the Forrestal Range. The minor part forms the Dufek Massif itself, which the magnetic data show was emplaced on a separate trend and is of a shallower origin than the Forrestal phase. Magnetic lineaments on the compilation map are used to establish a possible chronology of events. We suggest that the emplacement of both phases of the Dufek intrusion was preceded by a period of extensional block faulting which uplifted the Berkner Island basement block, and was succeeded by a further period of extensional faulting involving a component of strike-slip deformation during the initial stages of Gondwana break-up. (C) 1998 Elsevier Science B.V.</t>
  </si>
  <si>
    <t>Ferris, J (corresponding author), British Antarctic Survey, Madingley Rd, Cambridge CB3 0ET, England.</t>
  </si>
  <si>
    <t>j.ferris@bas.ac.uk</t>
  </si>
  <si>
    <t>10.1016/S0012-821X(97)00165-9</t>
  </si>
  <si>
    <t>WOS:000072715700013</t>
  </si>
  <si>
    <t>Milne, GA; Mitrovica, JX; Forte, AM</t>
  </si>
  <si>
    <t>The sensitivity of glacial isostatic adjustment predictions to a low-viscosity layer at the base of the upper mantle</t>
  </si>
  <si>
    <t>mantle; isostasy; glacial rebound; viscosity; secular variations</t>
  </si>
  <si>
    <t>GLOBAL SEA-LEVEL; EARTHS ROTATION; PLEISTOCENE DEGLACIATION; RADIAL VISCOSITY; FLUID CORE; ICE-AGE; CONSTRAINT; TOMOGRAPHY; INVERSION; MODELS</t>
  </si>
  <si>
    <t>Recent inferences of mantle viscosity based on convection-related observables (long-wavelength nonhydrostatic geoid and free-air gravity harmonics) indicate the presence of a relatively thin low-viscosity region at the base of the upper mantle. We explore the sensitivity of observables associated with glacial isostatic adjustment (GIA) to the viscosity and thickness of this region. These observables include post-glacial relative sea-level (RSL) Variations within previously glaciated areas and in the far field of the Late Pleistocene ice sheets, as well as anomalies associated with the rotational state of the planet. The latter include present-day secular variations in the geopotential harmonic J(2) (or, equivalently, Variations in the rotation rate) and polar wander speed. We find, in contrast to previous suggestions, that the GIA observables (with the exception of polar wander speed) are sensitive to fine-scale low-viscosity structure at the base of the upper mantle. For example, j(2) predictions can be altered by as much as 2 x 10(-11) yr(-1) by the inclusion of a low-viscosity zone. This signal is sufficient to significantly affect both inferences of mantle viscosity and constraints on the present-day melting of large polar ice sheets (Antarctic, Greenland) that are derived using this observable. Indeed, if a low-viscosity region exists, then models that do not include it can overestimate recent polar melting events by as much as 0.5 mm/yr of equivalent eustatic sea-level rise. (C) 1998 Elsevier Science B.V.</t>
  </si>
  <si>
    <t>Univ Toronto, Dept Phys, Toronto, ON M5S 1A7, Canada; Inst Phys Globe, Dept Sismol, Paris, France</t>
  </si>
  <si>
    <t>University of Toronto; Universite Paris Cite</t>
  </si>
  <si>
    <t>Milne, GA (corresponding author), Univ Toronto, Dept Phys, 60 St George St, Toronto, ON M5S 1A7, Canada.</t>
  </si>
  <si>
    <t>Forte, Alessandro/0000-0002-3530-0455</t>
  </si>
  <si>
    <t>10.1016/S0012-821X(97)00191-X</t>
  </si>
  <si>
    <t>WOS:000072715700018</t>
  </si>
  <si>
    <t>Nawa, K; Suda, N; Fukao, Y; Sato, T; Aoyama, Y; Shibuya, K</t>
  </si>
  <si>
    <t>Comment on Incessant excitation of the Earth's free oscillations - Reply</t>
  </si>
  <si>
    <t>EARTH PLANETS AND SPACE</t>
  </si>
  <si>
    <t>Imanishi (this issue) commented that (1) the noise level at Matsushiro, Japan (MA) is much lower than at Syowa Station, Antarctica (SY), (2) oscillation signals are not observed at MA, and therefore (3) peaks below 3 mHz observed at SY are unlikely to be real signals of free oscillations. We point out that (1) he made a comparison between MA in the Japanese quiet month and SY in the Antarctic windy month, (2) the Matsushiro record does show up oscillation signals, and therefore (3) his assertion that peaks below 3 mHz observed at SY are unlikely to be real signals is not founded.</t>
  </si>
  <si>
    <t>Nagoya Univ, Dept Earth &amp; Planetary Sci, Chikusa Ku, Nagoya, Aichi 4648602, Japan; Univ Tokyo, Earthquake Res Inst, Bunkyo Ku, Tokyo 1130032, Japan; Natl Astron Observ, Mizusawa, Iwate 0230861, Japan; Grad Univ Adv Studies, Mizusawa, Iwate 0230861, Japan; Natl Inst Polar Res, Itabashi Ku, Tokyo 1730003, Japan</t>
  </si>
  <si>
    <t>Nagoya University; University of Tokyo; National Institutes of Natural Sciences (NINS) - Japan; National Astronomical Observatory of Japan (NAOJ); Graduate University for Advanced Studies - Japan; Research Organization of Information &amp; Systems (ROIS); National Institute of Polar Research (NIPR) - Japan</t>
  </si>
  <si>
    <t>Nawa, K (corresponding author), Geol Survey Japan, 1-1-3 Higashi, Ibaraki, Osaka 3058567, Japan.</t>
  </si>
  <si>
    <t>Nawa, Kazunari/K-6291-2016</t>
  </si>
  <si>
    <t>Nawa, Kazunari/0000-0002-6237-2876</t>
  </si>
  <si>
    <t>TERRA SCIENTIFIC PUBL CO</t>
  </si>
  <si>
    <t>TOKYO</t>
  </si>
  <si>
    <t>2003 SANSEI JIYUGAOKA HAIMU, 5-27-19 OKUSAWA, SETAGAYA-KU, TOKYO, 158, JAPAN</t>
  </si>
  <si>
    <t>1343-8832</t>
  </si>
  <si>
    <t>EARTH PLANETS SPACE</t>
  </si>
  <si>
    <t>Earth Planets Space</t>
  </si>
  <si>
    <t>10.1186/BF03352183</t>
  </si>
  <si>
    <t>151HW</t>
  </si>
  <si>
    <t>gold</t>
  </si>
  <si>
    <t>WOS:000077715500011</t>
  </si>
  <si>
    <t>Haynes, VM</t>
  </si>
  <si>
    <t>The morphological development of alpine valley heads in the Antarctic Peninsula</t>
  </si>
  <si>
    <t>EARTH SURFACE PROCESSES AND LANDFORMS</t>
  </si>
  <si>
    <t>glacial erosion; corrie (cirque); alpine valley head; Antarctic Peninsula; planform morphometry; long-term landform evolution</t>
  </si>
  <si>
    <t>QUATERNARY GLACIAL HISTORY; ICE-SHEET; LANDSCAPE; PLIOCENE</t>
  </si>
  <si>
    <t>Glaciation has continued in Antarctica for longer than anywhere else on Earth, so the long-term development of glaciated landforms can be investigated. Complex alpine valley heads up to 36km wide are found in the Antarctic Peninsula. The largest of these may represent an advanced stage of alpine glaciation, having evolved from the earliest conies which could have developed around the early Oligocene. This study is based on a morphometric analysis of the plan form of 1680 alpine valley heads. This is a much larger sample than used by any previous study. Skewed distributions of dimensional properties (width,length and area) suggest that small conies are continually being added to the population, as older ones are enlarged and some eliminated by coalescence and ice sheet erosion. Very large features are found only in parts of Graham Land and Alexander Island, where lack of high-level ice sheet erosion has allowed the forms of mountain glaciation to dominate the landscape. The attainment of an equilibrium planform shape is suggested by the persistence of an equidimensional form, the development of characteristic or limiting values of other morphometric properties, e.g. planform closure and basin order, and by the intercorrelation of morphometric properties. A combination of branching and coalescence is fundamental in the development of conies. The latter results both in widening, which counteracts the tendency towards lengthening observed by other workers, and also in a limit to basin complexity. (C) 1998 John Wiley &amp; Sons, Ltd.</t>
  </si>
  <si>
    <t>Univ Stirling, Dept Environm Sci, Stirling FK9 4LA, Scotland</t>
  </si>
  <si>
    <t>University of Stirling</t>
  </si>
  <si>
    <t>Haynes, VM (corresponding author), Univ Stirling, Dept Environm Sci, Stirling FK9 4LA, Scotland.</t>
  </si>
  <si>
    <t>0197-9337</t>
  </si>
  <si>
    <t>1096-9837</t>
  </si>
  <si>
    <t>EARTH SURF PROC LAND</t>
  </si>
  <si>
    <t>Earth Surf. Process. Landf.</t>
  </si>
  <si>
    <t>10.1002/(SICI)1096-9837(199801)23:1&lt;53::AID-ESP817&gt;3.0.CO;2-O</t>
  </si>
  <si>
    <t>Geography, Physical; Geosciences, Multidisciplinary</t>
  </si>
  <si>
    <t>Physical Geography; Geology</t>
  </si>
  <si>
    <t>YT274</t>
  </si>
  <si>
    <t>WOS:000071583500004</t>
  </si>
  <si>
    <t>Lu, GY; Adatte, T; Keller, G; Ortiz, N</t>
  </si>
  <si>
    <t>Abrupt climatic, oceanographic and ecologic changes near the Paleocene-Eocene transition in the deep Tethys basin: The Alademilla section, southern Spain</t>
  </si>
  <si>
    <t>ECLOGAE GEOLOGICAE HELVETIAE</t>
  </si>
  <si>
    <t>Paleocene-Eocene transition; Tethys; paleo-oceanography; paleo-climate; warming; aridity; faunal turnover; stable isotopes; clay-minerals</t>
  </si>
  <si>
    <t>PLANKTONIC-FORAMINIFERA; ISOTOPE STRATIGRAPHY; EARTH HISTORY; OCEAN; PALEOGENE; BOUNDARY; ATLANTIC; PACIFIC; MARINE; WATER</t>
  </si>
  <si>
    <t>The Tethys is a critical region for investigating the mechanism(s) of the Paleocene-Eocene global change, because of its potential in producing warm saline water masses, a possible driving force for the deep ocean warming at this time. To examine climatic, oceanographic and ecologic changes in the deep Tethys basin, we conducted high resolution faunal, isotopic and mineralogic analyses across the P-E transition at the Alamedilla section (paleodepth between 1000 m and 2000 m) in southern Spain. At this location, foraminiferal delta(18)O values show little temperature change in surface waters, but a 4 degrees C warming in bottom waters. Comparison with deep-sea sites indicates that Antarctic intermediate water was consistently colder than Tethys bottom water. During the course of the P-E global change, however, the temperature difference between these two water masses was reduced from a previous 5 degrees C to 3 degrees C. Clay mineralogic analyses at the Alamedilla section indicate increased aridity in the Tethys region that contrasts with a humid episode on Antarctica during high-latitude warming. Foraminiferal delta(13)C values at Alamedilla show a negative excursion of 1.7 parts per thousand in both surface and bottom waters with little change in the vertical delta(13)C gradient. Accumulation of organic and inorganic carbon in sediments decreased significantly, suggesting changes in the size and structure of the oceanic carbon reservoir. Associated with these climatic and oceanographic changes is a reorganization of the Tethys ecosystem, a benthic foraminiferal mass extinction, and planktonic foraminiferal assemblages marked by increased species turnover rates and high relative abundance of short-lived, opportunistic species that suggest increased instability.</t>
  </si>
  <si>
    <t>Princeton Univ, Dept Geosci, Princeton, NJ 08544 USA; Inst Geol, CH-2007 Neuchatel, Switzerland</t>
  </si>
  <si>
    <t>Princeton University</t>
  </si>
  <si>
    <t>Adatte, T (corresponding author), Inst Geol, 11 Rue Emile Argand, CH-2007 Neuchatel, Switzerland.</t>
  </si>
  <si>
    <t>BIRKHAUSER VERLAG AG</t>
  </si>
  <si>
    <t>VIADUKSTRASSE 40-44, PO BOX 133, CH-4010 BASEL, SWITZERLAND</t>
  </si>
  <si>
    <t>0012-9402</t>
  </si>
  <si>
    <t>ECLOGAE GEOL HELV</t>
  </si>
  <si>
    <t>Eclogae Geol. Helv.</t>
  </si>
  <si>
    <t>131HT</t>
  </si>
  <si>
    <t>WOS:000076570700009</t>
  </si>
  <si>
    <t>Mangel, M; Switzer, PV</t>
  </si>
  <si>
    <t>A model at the level of the foraging trip for the indirect effects of krill (Euphausia superba) fisheries on krill predators</t>
  </si>
  <si>
    <t>ECOLOGICAL MODELLING</t>
  </si>
  <si>
    <t>krill (Euphausia superba); krill predators; fisheries; indirect effects; Commission for the Conservation of Antarctic Marine Living Resources</t>
  </si>
  <si>
    <t>HIGHER-ORDER INTERACTIONS; BREEDING ADELIE PENGUINS; ANTARCTIC KRILL; ACOUSTIC OBSERVATIONS; SOUTH GEORGIA; OCEAN; PREY; DISTRIBUTIONS; POPULATIONS; ENERGETICS</t>
  </si>
  <si>
    <t>We present a model at the level of the foraging trip for the effects of a fishery on krill (Euphausia superba) predators, using the Adelie penguin (Pygoscelis adeliae) as a model organism. The model involves: (i) the description of the biomass and spatial distribution of krill; (ii) the effects of the fishery on the krill; (iii) the description of penguin breeding; and (iv) the indirect effects of the fishery on penguin reproduction and survival. The objective is to make relative comparisons of penguin reproductive success and adult survival in the absence or presence of a fishery. The biomass of krill appropriate for the predators (and the fishery) fluctuates from one year to the next according to an age-structured, stochastic recruitment model. Furthermore, there is a spatial-temporal structure, determined by diffusion and advection, to krill availability in relation to the location of the penguin breeding colony. Fishing is assumed to change the spatial and temporal distribution of available krill. After fledging, offspring survival depends in part upon the amount of krill delivered to them during the feeding periods. We use empirical data to estimate parental and offspring needs and a standard life history model to set the upper limits for survival. Parental survival after breeding depends upon the krill deficiency (relative to needs) that parents accumulate while feeding their young. A sensitivity analysis of the breeding model shows that the predictions are robust for parameters about which little is known, to the functional forms relating krill abundance to offspring and parent survival, and to the rules that parents use to allocate krill to their offspring. We evaluate expected reproductive success (offspring survival) and expected parental survival as functions of the amount of krill captured by the fishing fleet. Over the range of catch in our study, the reductions in reproductive success are essentially linear functions of krill catch with slope 1.5 and reductions in adult survival are also linear functions of krill catch, with but slopes less than 1. That is, reductions in reproductive success and parental survival are linear functions of krill catch, but not 1:1. The reductions in offspring and parent survival are mainly determined by how long the fishing season lasts and the capacity for harvest, rather than when fishing begins. (C) 1998 Elsevier Science B.V.</t>
  </si>
  <si>
    <t>Univ Calif Santa Cruz, Dept Environm Studies, Santa Cruz, CA 95064 USA; Eastern Illinois Univ, Dept Zool, Charleston, IL 61920 USA</t>
  </si>
  <si>
    <t>University of California System; University of California Santa Cruz; Eastern Illinois University</t>
  </si>
  <si>
    <t>Mangel, M (corresponding author), Univ Calif Santa Cruz, Dept Environm Studies, Santa Cruz, CA 95064 USA.</t>
  </si>
  <si>
    <t>msmangel@cats.ucsc.edu</t>
  </si>
  <si>
    <t>0304-3800</t>
  </si>
  <si>
    <t>ECOL MODEL</t>
  </si>
  <si>
    <t>Ecol. Model.</t>
  </si>
  <si>
    <t>10.1016/S0304-3800(97)00167-1</t>
  </si>
  <si>
    <t>ZA319</t>
  </si>
  <si>
    <t>WOS:000072351600006</t>
  </si>
  <si>
    <t>Wareham, CD; Rice, CM; Boyce, AJ; Rogers, G</t>
  </si>
  <si>
    <t>S, C, Sr, and Pb sources in the Pliocene Silver Creek porphyry Mo system, Rico, Colorado</t>
  </si>
  <si>
    <t>ECONOMIC GEOLOGY AND THE BULLETIN OF THE SOCIETY OF ECONOMIC GEOLOGISTS</t>
  </si>
  <si>
    <t>JUAN VOLCANIC FIELD; ORE-DEPOSITS; CENTRAL-CITY; SULFUR-DIOXIDE; OXYGEN ISOTOPE; STRONTIUM; TEMPERATURES; MOUNTAINS; EXCHANGE; CALCITE</t>
  </si>
  <si>
    <t>The Pliocene Silver Creek porphyry Mo deposit at Rico, southwest Colorado, is the youngest known porphyry Mo deposit in the Colorado mineral belt. Associated sulfate replacement deposits, epithermal Pb-Zn-Ag vein and replacement deposits, and Recent hot springs also occur. We investigated the S, C, Sr, and Pb sources at the various levels of this well-preserved hydrothermal system by isotopic studies of the mineralization, and of sedimentary and igneous rocks in the area. Hydrothermal sulfide delta(34)S values are tightly grouped at ca. 0 per mil ((x) over bar = 0.3 +/- 2.0 parts per thousand, 1 sigma; n = 107) and are substantially lower than those of the hydrothermal sulfates ((x) over bar = 15.2 +/- 1.6 parts per thousand, 1 sigma; n = 14). Pliocene hydrothermal carbonate delta(13)C values (-7.9 to +1.1 parts per thousand; (x) over bar = -4.9 +/- 2.7 parts per thousand, 1 sigma; n = 16) are similar to those for the Pennsylvanian Hermosa Formation carbonate (delta(13)C = -6.7 to +2.6 parts per thousand; (x) over bar = -3.0 +/- -3.2 parts per thousand, 1 sigma; n = 5), which hosts most of the base and precious metal mineralization, whereas Recent hot spring tufas have somewhat higher values (delta(13)C = 1.8-5.5 parts per thousand; (x) over bar = 3.7 +/- 1.3 parts per thousand, 1 sigma; n = 5). Pliocene hydrothermal carbonates have delta(18)O values between -5.1 and 12.3 per mil ((x) over bar = 5.0 +/- 6.3 parts per thousand, 1 sigma; n = 16). The tufas have higher delta(18)O values ((x) over bar = 15.4 +/- 2.6 parts per thousand, 1 sigma; n = 5). Hydrothermal carbonates (including tufa) and sulfate have initial Sr-87/Sr-86(omega), values between 0.70700 and 0.71168. Pennsylvanian sedimentary rocks in the Rico district had Sr-87/Sr-86 ratios between 0.70877 and 0.71694 at the time of mineralization. Fresh and altered Pliocene monzonite intrusions at Rico have initial Sr-87/Sr-86((4)) values of 0.70581 and 0.70563, respectively, whereas variably altered rhyolite dikes have initial Sr-87/Sr-86((4)) values of 0.70987, 0.71574, and 0.71716. The Pb-206/Pb-204, Pb-207/Pb-204, and Pb-208/Pb-204 ratios of molybdenite, pyrite, and galena taken together are 18.27 to 19.65, 15.55 to 15.70, and 37.75 to 38.62. Pliocene lamprophyre and rhyolite dikes at Rico have equivalent Pb isotope ratios of 18.26, 15.48, and 37.81 and 18.79, 15.65, and 38.02, respectively. These Ph isotope data are typical of Tertiary volcanic rocks and associated sulfides in southwest Colorado. Our delta(34)S-data indicate a magmatic S source for the polphyry Mo and epithermal base metal sulfide mineralization. Most of the sulfide Pb is also of magmatic origin. In contrast, hydrothermal sulfate replacement deposits peripheral to the porphyry Mo deposit, carbonate gangue from the base metal deposits, and the Recent hot spring tufa derived their respective S, C, and Sr from local sedimentary rocks. Our delta(18)O data indicate that the hydrothermal carbonates were deposited from O-18-shifted meteoric waters. Our comprehensive isotopic data set presents a similar genetic picture to that of other molybdenite deposits in the mineral belt, in that the porphyry Mo mineralization was dominated by magmatic components, whereas the peripheral base metal mineralization contains both magmatic and upper crustal components. These important genetic similarities are independent of fundamental differences in tectonic setting.</t>
  </si>
  <si>
    <t>Univ Aberdeen, Dept Geol &amp; Petr Geol, Aberdeen AB9 2UE, Scotland; Scottish Univ Res &amp; Reactor Ctr, Isotope Geosci Unit, Glasgow G75 0QU, Lanark, Scotland</t>
  </si>
  <si>
    <t>University of Aberdeen; Scottish Universities Research &amp; Reactor Center</t>
  </si>
  <si>
    <t>Wareham, CD (corresponding author), British Antarctic Survey, High Cross,Madingley Rd, Cambridge CB3 0ET, England.</t>
  </si>
  <si>
    <t>Boyce, Adrian/AAH-3203-2020; Boyce, Adrian J/D-2263-2010</t>
  </si>
  <si>
    <t>Boyce, Adrian/0000-0002-9680-0787; Boyce, Adrian J/0000-0002-9680-0787</t>
  </si>
  <si>
    <t>ECONOMIC GEOLOGY PUBL CO</t>
  </si>
  <si>
    <t>LITTLETON</t>
  </si>
  <si>
    <t>5808 SOUTH RAPP ST, STE 209, LITTLETON, CO 80120-1942 USA</t>
  </si>
  <si>
    <t>0361-0128</t>
  </si>
  <si>
    <t>ECON GEOL BULL SOC</t>
  </si>
  <si>
    <t>Econ. Geol. Bull. Soc. Econ. Geol.</t>
  </si>
  <si>
    <t>JAN-FEB</t>
  </si>
  <si>
    <t>10.2113/gsecongeo.93.1.32</t>
  </si>
  <si>
    <t>ZA120</t>
  </si>
  <si>
    <t>WOS:000072330900003</t>
  </si>
  <si>
    <t>Koken, PJM; Willems, BAT; Vrieze, OJ; Frick, RA</t>
  </si>
  <si>
    <t>Modelling the ozone depletion, UV radiation and skin cancer rates for Australia</t>
  </si>
  <si>
    <t>ENVIRONMETRICS</t>
  </si>
  <si>
    <t>6th International Conference on Statistical Methods for Environmental Science</t>
  </si>
  <si>
    <t>DEC, 1995</t>
  </si>
  <si>
    <t>BANGUI, MALAYSIA</t>
  </si>
  <si>
    <t>modelling; skin cancer; UV radiation; ozone depletion</t>
  </si>
  <si>
    <t>MELANOMA</t>
  </si>
  <si>
    <t>Australia has a very sunny climate, the majority of the inhabitants are of Caucasian origin, and the country is situated close to the Antarctic with its appearing 'ozone hole': thus the problem of ozone depletion is of great concern. The present article describes a model to estimate the future increase in melanoma and nonmelanoma skin cancer among the Australian population as a result of an increase in UV radiation, using four different scenarios for future stratospheric chlorine concentrations resulting in four different ozone depletion rates. For melanoma, enough data were available to calculate the increase in incidence rates for three different latitudinal zones within Australia, showing the differences between the zones with their diverse climate conditions. Two of the four scenarios show a continuing increase in both melanoma and non-melanoma skin cancer incidences as a result of ozone depletion. Towards the end of the simulation period a negative trend in the incidence rates for the two other scenarios starts to show. Furthermore differences are found in the melanoma skin cancer incidences between the three zones specified. (C) 1998 John Wiley &amp; Sons, Ltd.</t>
  </si>
  <si>
    <t>Univ Limburg, Dept Math, NL-6200 MD Maastricht, Netherlands; Univ S Australia, Sch Math, The Levels, SA 5095, Australia</t>
  </si>
  <si>
    <t>Maastricht University; Hasselt University; University of South Australia</t>
  </si>
  <si>
    <t>Koken, PJM (corresponding author), Univ Limburg, Dept Math, POB 616, NL-6200 MD Maastricht, Netherlands.</t>
  </si>
  <si>
    <t>JOHN WILEY &amp; SONS LTD</t>
  </si>
  <si>
    <t>W SUSSEX</t>
  </si>
  <si>
    <t>BAFFINS LANE CHICHESTER, W SUSSEX PO19 1UD, ENGLAND</t>
  </si>
  <si>
    <t>1180-4009</t>
  </si>
  <si>
    <t>Environmetrics</t>
  </si>
  <si>
    <t>10.1002/(SICI)1099-095X(199801/02)9:1&lt;15::AID-ENV282&gt;3.0.CO;2-6</t>
  </si>
  <si>
    <t>Environmental Sciences; Mathematics, Interdisciplinary Applications; Statistics &amp; Probability</t>
  </si>
  <si>
    <t>Environmental Sciences &amp; Ecology; Mathematics</t>
  </si>
  <si>
    <t>ZB285</t>
  </si>
  <si>
    <t>WOS:000072455700003</t>
  </si>
  <si>
    <t>Rivolier, J; Bachelard, C; Cazes, G; Gaud, R; Le Scanff, C; Rosnet, E; Novikov, M; Gushin, V; Efimov, V; Eskov, K; Vinokhodova, A; Hockey, R; Sauer, J</t>
  </si>
  <si>
    <t>A methodological study in a space flight simulation context</t>
  </si>
  <si>
    <t>EUROPEAN REVIEW OF APPLIED PSYCHOLOGY-REVUE EUROPEENNE DE PSYCHOLOGIE APPLIQUEE</t>
  </si>
  <si>
    <t>space simulation; polar winter-over; psychosocial adjustment; Russian tests; methodology</t>
  </si>
  <si>
    <t>To study the effects of isolation and confinement on small groups during long space flights, it is habitual to use closed hyperbaric ground chambers. For the first time, the European Space Agency made use of a natural environment taking advantage of an Antarctic winter-over at the French Dumont d'Urville Station. The main objective of that study (International Antarctic Psychological Programme), was to compare different Russian tests used for training cosmonauts to a W. European approach validated during previous winter studies and European ground chamber simulations. Russian techniques appeared to be oriented to a narrow range of phenomena and unsuited to discern the adjustment to stress conditions.</t>
  </si>
  <si>
    <t>Univ Reims, Lab Psychol Appl, F-51096 Reims, France; Inst Biomed Problems, Moscow, Russia; Univ Hull, Dept Psychol, Hull HU6 7RX, N Humberside, England</t>
  </si>
  <si>
    <t>Universite de Reims Champagne-Ardenne; Russian Academy of Sciences; Institute of Biomedical Problems of the Russian Academy of Sciences; University of Hull</t>
  </si>
  <si>
    <t>Rivolier, J (corresponding author), Univ Reims, Lab Psychol Appl, 57 Rue Pierre Taittinger, F-51096 Reims, France.</t>
  </si>
  <si>
    <t>Sauer, Juergen/AFD-8342-2022; Sauer, Juergen/AAG-7205-2022; Vinokhodova, Alla/HMV-9521-2023</t>
  </si>
  <si>
    <t>Sauer, Juergen/0000-0003-2105-1694; Sauer, Juergen/0000-0003-2105-1694; Vinokhodova, Alla/0000-0001-7910-9946</t>
  </si>
  <si>
    <t>EDITIONS CENTRE PSYCHOL APPL</t>
  </si>
  <si>
    <t>PARIS</t>
  </si>
  <si>
    <t>48 AVENUE VICTOR HUGO, 75783 PARIS, FRANCE</t>
  </si>
  <si>
    <t>1162-9088</t>
  </si>
  <si>
    <t>EUR REV APPL PSYCHOL</t>
  </si>
  <si>
    <t>Eur. Rev. Appl. Psychol.-Rev. Eur. Psychol. Appl.</t>
  </si>
  <si>
    <t>Psychology, Applied</t>
  </si>
  <si>
    <t>Psychology</t>
  </si>
  <si>
    <t>148VV</t>
  </si>
  <si>
    <t>WOS:000077555000005</t>
  </si>
  <si>
    <t>Deegenaars, ML; Watson, K</t>
  </si>
  <si>
    <t>Heat shock response in psychrophilic and psychrotrophic yeast from Antarctica</t>
  </si>
  <si>
    <t>EXTREMOPHILES</t>
  </si>
  <si>
    <t>Antarctic yeast; heat stress; heat shock protein; trehalose; thermotolerance</t>
  </si>
  <si>
    <t>SACCHAROMYCES-CEREVISIAE; PROTEIN-SYNTHESIS; OXIDATIVE STRESS; THERMOTOLERANCE; TEMPERATURE; TREHALOSE; TOLERANCE; LEUCOSPORIDIUM; ACQUISITION; MICROORGANISMS</t>
  </si>
  <si>
    <t>The response to heat stress in six yeast species isolated from Antarctica was examined. The yeast were classified into two groups: one psychrophilic, with a maximum growth temperature of 20 degrees C, and the other psychrotrophic, capable of growth at temperatures above 20 degrees C. In addition to species-specific heat shock prote in (hsp) profiles, a heat shock (15 degrees C-25 degrees C for 3 h) induced the synthesis of a 110-kDa protein common to the psychrophiles, Mrakia stokesii, M. frigida, and M. gelida, but not evident in Leucosporidium antarcticum. Immunoblot analyses revealed heat shock inducible proteins (hsps) corresponding to hsps 70 and 90. Interestingly, no proteins corresponding to hsps 60 and 104 were observed in any of the psychrophilic species examined. In the psychrotrophic yeast, Leucosporidium fellii and L. scottii, in addition to the presence of hsps 70 and 90, a protein corresponding to hsp 104 was observed. In psychrotrophic yeast, as observed in psychrophilic yeast, the absence of a protein corresponding to hsp 60 was noted. Relatively high endogenous levels of trehalose which were elevated upon a heat shock were exhibited by all species. A 10 Celsius degree increase in temperature above the growth temperature (15 degrees C) of psychrophiles and psychrotrophs was optimal for heat shock induced thermotolerance. On the other hand, in psychrotrophic yeast grown at 25 degrees C, only a 5 Celsius degree increase in temperature was necessary for heat shock induced thermotolerance. Induced thermotolerance in all yeast species was coincident with hsp synthesis and trehalose accumulation. It was concluded that psychrophilic and psychrotrophic yeast, although exhibiting a stress response similar to mesophilic Saccharomyces cerevisiae, nevertheless had distinctive stress protein profiles.</t>
  </si>
  <si>
    <t>Univ New England, Dept Mol &amp; Cellular Biol, Armidale, NSW 2351, Australia</t>
  </si>
  <si>
    <t>Univ New England, Dept Mol &amp; Cellular Biol, Armidale, NSW 2351, Australia.</t>
  </si>
  <si>
    <t>kwatson2@metz.une.edu.au</t>
  </si>
  <si>
    <t>SPRINGER JAPAN KK</t>
  </si>
  <si>
    <t>SHIROYAMA TRUST TOWER 5F, 4-3-1 TORANOMON, MINATO-KU, TOKYO, 105-6005, JAPAN</t>
  </si>
  <si>
    <t>1431-0651</t>
  </si>
  <si>
    <t>1433-4909</t>
  </si>
  <si>
    <t>Extremophiles</t>
  </si>
  <si>
    <t>10.1007/s007920050041</t>
  </si>
  <si>
    <t>Biochemistry &amp; Molecular Biology; Microbiology</t>
  </si>
  <si>
    <t>YX482</t>
  </si>
  <si>
    <t>WOS:000072044400006</t>
  </si>
  <si>
    <t>Gertner, BJ; Hynes, JT</t>
  </si>
  <si>
    <t>Model molecular dynamics simulation of hydrochloric acid ionization at the surface of stratospheric ice</t>
  </si>
  <si>
    <t>FARADAY DISCUSSIONS</t>
  </si>
  <si>
    <t>GAUSSIAN-TYPE BASIS; VALENCE BASIS-SETS; ORBITAL METHODS; ANTARCTIC STRATOSPHERE; HYDROGEN-CHLORIDE; OZONE HOLE; HETEROGENEOUS REACTIONS; ORGANIC-MOLECULES; 1ST-ROW ELEMENTS; 2ND-ROW ELEMENTS</t>
  </si>
  <si>
    <t>The issue of the acid ionization of HCl at the surface of stratospheric ice particles, which is relevant in connection with Antarctic stratospheric ozone depletion, is studied theoretically. This study extends that of Gertner and Hynes (Science, 1996, 271, 1563) by examination of 12 new sites and by quantization of the transferring proton's nuclear motion. Fourteen initial adsorption sites for the HCl are selected via arguments based on HCl incorporation mechanisms for a dynamic ice surface, for the basal-plane and prism face surfaces of ice. Acid ionization at 190 K in those sites is examined via combined electronic structure and classical molecular dynamics methodologies to estimate the reaction Gibbs energies and barriers. In each case examined,;the acid ionization step of proton transfer from the HCl to a neighboring water molecule is estimated to be thermodynamically feasible and kinetically rapid.</t>
  </si>
  <si>
    <t>THOMAS GRAHAM HOUSE, SCIENCE PARK, MILTON ROAD, CAMBRIDGE CB4 0WF, CAMBS, ENGLAND</t>
  </si>
  <si>
    <t>0301-7249</t>
  </si>
  <si>
    <t>FARADAY DISCUSS</t>
  </si>
  <si>
    <t>Faraday Discuss.</t>
  </si>
  <si>
    <t>10.1039/a801721b</t>
  </si>
  <si>
    <t>148EP</t>
  </si>
  <si>
    <t>WOS:000077492000016</t>
  </si>
  <si>
    <t>Holder, JM; Edwards, HGM; Wynn-Williams, DD</t>
  </si>
  <si>
    <t>deHaseth, JA</t>
  </si>
  <si>
    <t>FT-Raman spectroscopy of lichen species from the Antarctic</t>
  </si>
  <si>
    <t>FOURIER TRANSFORM SPECTROSCOPY</t>
  </si>
  <si>
    <t>AIP CONFERENCE PROCEEDINGS</t>
  </si>
  <si>
    <t>11th International Conference on Fourier Transform Spectroscopy (ICOFTS 11)</t>
  </si>
  <si>
    <t>AUG 10-15, 1997</t>
  </si>
  <si>
    <t>ATHENS, GA</t>
  </si>
  <si>
    <t>In this investigation, FT-Raman spectroscopy has been utilised to characterize pigments and chemicals produced by Antarctic lichens, which have been exposed to increasing levels of W-B radiation and other environmental conditions. The presence of calcium oxalate in some lichen species has also been confirmed spectroscopically.</t>
  </si>
  <si>
    <t>Univ Bradford, Bradford BD7 1DP, W Yorkshire, England</t>
  </si>
  <si>
    <t>University of Bradford</t>
  </si>
  <si>
    <t>Holder, JM (corresponding author), Univ Bradford, Bradford BD7 1DP, W Yorkshire, England.</t>
  </si>
  <si>
    <t>MELVILLE</t>
  </si>
  <si>
    <t>2 HUNTINGTON QUADRANGLE, STE 1NO1, MELVILLE, NY 11747-4501 USA</t>
  </si>
  <si>
    <t>0094-243X</t>
  </si>
  <si>
    <t>1-56396-746-4</t>
  </si>
  <si>
    <t>AIP CONF PROC</t>
  </si>
  <si>
    <t>10.1063/1.55797</t>
  </si>
  <si>
    <t>Chemistry, Analytical; Chemistry, Physical; Instruments &amp; Instrumentation; Polymer Science; Spectroscopy</t>
  </si>
  <si>
    <t>Chemistry; Instruments &amp; Instrumentation; Polymer Science; Spectroscopy</t>
  </si>
  <si>
    <t>BL29A</t>
  </si>
  <si>
    <t>WOS:000075012400053</t>
  </si>
  <si>
    <t>Hindmarsh, RCA; Van der Wateren, FM; Verbers, ALLM</t>
  </si>
  <si>
    <t>Sublimation of ice through sediment in Beacon Valley, Antarctica</t>
  </si>
  <si>
    <t>GEOGRAFISKA ANNALER SERIES A-PHYSICAL GEOGRAPHY</t>
  </si>
  <si>
    <t>DRY VALLEYS; SHEET</t>
  </si>
  <si>
    <t>The time-dependent physics of ice sublimation through thin layers of till is considered, to determine whether sublimation could be sufficiently slow to permit the preservation of ice for 8 Ma in the Dry Valleys, Antarctica. This could only happen if the ice had been very thick, bur other evidence (crystal size, dating of other ice-cored moraines) is not consistent with this possibility. Steady-state models suggest that sublimation is rare-controlled by vapor transport. A rime-dependent model coupling vapor concentration,air pressure, temperature and ice concentration is formulated, and the resulting equations solved non-linearly. No transient coupling between vapor concentration, air temperature and pressure that substantially slows down sublimation was found in the numerical experiments. This means either that vapor transport is being slowed down by some unconsidered physical process or that the ice is much younger than 8 Ma.</t>
  </si>
  <si>
    <t>British Antarctic Survey, NERC, Cambridge, England; Vrije Univ Amsterdam, Netherlands Res Sch Sedimentary Geol, Amsterdam, Netherlands; Univ Utrecht, Phys Geog Dept, Utrecht, Netherlands</t>
  </si>
  <si>
    <t>UK Research &amp; Innovation (UKRI); Natural Environment Research Council (NERC); NERC British Antarctic Survey; Vrije Universiteit Amsterdam; Utrecht University</t>
  </si>
  <si>
    <t>British Antarctic Survey, NERC, Cambridge, England.</t>
  </si>
  <si>
    <t>Hindmarsh, Richard/N-1195-2019</t>
  </si>
  <si>
    <t>Hindmarsh, Richard/0000-0003-1633-2416; van der Wateren, Dick/0000-0001-8749-4442</t>
  </si>
  <si>
    <t>0435-3676</t>
  </si>
  <si>
    <t>1468-0459</t>
  </si>
  <si>
    <t>GEOGR ANN A</t>
  </si>
  <si>
    <t>Geogr. Ann. Ser. A-Phys. Geogr.</t>
  </si>
  <si>
    <t>80A</t>
  </si>
  <si>
    <t>10.1111/j.0435-3676.1998.00038.x</t>
  </si>
  <si>
    <t>Geography, Physical; Geology</t>
  </si>
  <si>
    <t>209YQ</t>
  </si>
  <si>
    <t>WOS:000081078100005</t>
  </si>
  <si>
    <t>Wilson, GS; Roberts, AP; Verosub, KL; Florindo, F; Sagnotti, L</t>
  </si>
  <si>
    <t>Magnetobiostratigraphic chronology of the Eocene-Oligocene transition in the CIROS-1 core, Victoria Land margin, Antarctica: Implications for Antarctic glacial history</t>
  </si>
  <si>
    <t>GEOLOGICAL SOCIETY OF AMERICA BULLETIN</t>
  </si>
  <si>
    <t>MIDDLE EOCENE; OCEAN</t>
  </si>
  <si>
    <t>In 1986, cores were obtained to a depth of 702 m (with 98 % recovery) from the CIROS-1 drill hole beneath the Ross Sea on the Victoria Land margin. Glaciogene sediments identified near the base of the hole mark the earliest known record of Antarctic glaciation, Initial biostratigraphic analysis indicated that the lower 336 m of the core is early Oligocene in age, and that the upper 366 m is of late Oligocene-early Miocene age, Recently, the chronology of the CIROS-1 core has been questioned, We developed a magnetostratigraphy for the lower 400 m of the CIROS-1 core to clarify the chronology, Our magnetobiostratigraphic results indicate that the base of the CIROS-1 core is early-late Eocene in age (corresponding to Chron C16r; ca, 36.5 Ma), We identify the Eocene-Oligocene boundary at about 410-420 m, within a 20-m-thick, poorly stratified, bioturbated sandy mudstone, This makes the CIROS-1 core the highest latitude site (77.1 degrees S) from which this datum event has been recognized, At 366 m, a 4 m,y, hiatus, which lies immediately beneath fluvial sediments, accounts for most of Chrons C11 and C12. We recognize three major climatic episodes in the CIROS-1 core: (1) the late Eocene (34.5-36.5 Ma, 430-702 m), when relatively warm conditions dominated and there were high sedimentation rates and some glacial activity; (2)the late Eocene-early Oligocene boundary interval (28.5-34.5 Ma, 340-430 m), which was a transition from relatively warm to cooler conditions that coincided with glacial intensification, sea-level fall, and subaerial erosion of the shelf; and; (3) the late Oligocene-early Miocene (22-28.5 Ma, 50-340 m), when large-scale glaciation dominated the region and glaciers grounded across the continental shelf. From correlation with global oxygen isotope and sea-level records, we infer that the Antarctic climate and surrounding oceans cooled after separation of Australia and Antarctica and development of deep-water circulation between them, This marked the onset of the Eocene-Oligocene transition at ca, 34.5 Ma. A major East Antarctic ice sheet did not develop until the early-late Oligocene boundary, toward the end of the Eocene-Oligocene transition (ca, 28.5 Ma), Outlet glaciers did not breach the Transantarctic Mountains and ground across the Ross Sea Shelf until 0.5 m.y., later (ca, 28 Ma).</t>
  </si>
  <si>
    <t>Ohio State Univ, Byrd Polar Res Ctr, Columbus, OH 43210 USA; Univ Southampton, Dept Oceanog, Southampton Oceanog Ctr, Southampton SO14 3ZH, Hants, England; Univ Calif Davis, Dept Geol, Davis, CA 95616 USA; Ist Nazl Geofis, I-00143 Rome, Italy</t>
  </si>
  <si>
    <t>University System of Ohio; Ohio State University; NERC National Oceanography Centre; University of Southampton; University of California System; University of California Davis; Istituto Nazionale Geofisica e Vulcanologia (INGV)</t>
  </si>
  <si>
    <t>Wilson, GS (corresponding author), Inst Geol &amp; Nucl Sci, POB 30368, Lower Hutt, New Zealand.</t>
  </si>
  <si>
    <t>wilsongs@geology.ohio-state.edu</t>
  </si>
  <si>
    <t>Roberts, Andrew P/E-6422-2010; Sagnotti, Leonardo/AFM-3916-2022; Wilson, Gary S/B-3803-2010; Florindo, Fabio/M-1459-2019; Florindo, Fabio/F-4119-2010; Florindo, Fabio/AAU-2548-2021</t>
  </si>
  <si>
    <t>Sagnotti, Leonardo/0000-0003-3944-201X; Florindo, Fabio/0000-0002-6058-9748; Florindo, Fabio/0000-0002-6058-9748; Roberts, Andrew P./0000-0003-0566-8117; Wilson, Gary/0000-0003-0025-3641</t>
  </si>
  <si>
    <t>0016-7606</t>
  </si>
  <si>
    <t>GEOL SOC AM BULL</t>
  </si>
  <si>
    <t>Geol. Soc. Am. Bull.</t>
  </si>
  <si>
    <t>10.1130/0016-7606(1998)110&lt;0035:MCOTEO&gt;2.3.CO;2</t>
  </si>
  <si>
    <t>YR157</t>
  </si>
  <si>
    <t>WOS:000071465900004</t>
  </si>
  <si>
    <t>Verbin, YP; Makarova, LN; Semenov, GA; Shirochkov, AV</t>
  </si>
  <si>
    <t>Detection of solar proton event effects according to the VLF-phase records at the high-latitude radio-track</t>
  </si>
  <si>
    <t>GEOMAGNETIZM I AERONOMIYA</t>
  </si>
  <si>
    <t>Russian</t>
  </si>
  <si>
    <t>Arctic &amp; Antarctic Res Inst, St Petersburg 199226, Russia</t>
  </si>
  <si>
    <t>Verbin, YP (corresponding author), Arctic &amp; Antarctic Res Inst, St Petersburg 199226, Russia.</t>
  </si>
  <si>
    <t>MEZHDUNARODNAYA KNIGA</t>
  </si>
  <si>
    <t>MOSCOW</t>
  </si>
  <si>
    <t>39 DIMITROVA UL., 113095 MOSCOW, RUSSIA</t>
  </si>
  <si>
    <t>0016-7940</t>
  </si>
  <si>
    <t>GEOMAGN AERON+</t>
  </si>
  <si>
    <t>Geomagn. Aeron.</t>
  </si>
  <si>
    <t>ZB725</t>
  </si>
  <si>
    <t>WOS:000072501300010</t>
  </si>
  <si>
    <t>Dijkstra, HA; van der Vaart, PCF</t>
  </si>
  <si>
    <t>On the physics of upgradient momentum transport in unstable eastward jets</t>
  </si>
  <si>
    <t>GEOPHYSICAL AND ASTROPHYSICAL FLUID DYNAMICS</t>
  </si>
  <si>
    <t>baroclinic/barotropic instability; momentum transport</t>
  </si>
  <si>
    <t>AMPLITUDE BAROCLINIC WAVES; CIRCUMPOLAR</t>
  </si>
  <si>
    <t>The weakly nonlinear finite amplitude evolution of mixed baroclinic/barotropic instabilities of an eastward zonal jet is considered in a two-layer QG-model on a midlatitude beta-plane. Linear friction is included and is essential to the momentum transport. The focus is two parameter regimes, one corresponding to the Gulf Stream and the other to the Antarctic Circumpolar Current. In the latter case, the nonlinear self-interaction of the most unstable mode causes upgradient momentum transport and therefore sharpens the jet. The analysis of this example leads to a clear description of the physics of this process. It also indicates why upgradient momentum transport does not occur in the Gulf Stream regime.</t>
  </si>
  <si>
    <t>Univ Utrecht, Inst Marine &amp; Atmospher Res Utrecht, Dept Phys &amp; Astron, Utrecht, Netherlands</t>
  </si>
  <si>
    <t>Dijkstra, HA (corresponding author), Univ Utrecht, Inst Marine &amp; Atmospher Res Utrecht, Dept Phys &amp; Astron, Utrecht, Netherlands.</t>
  </si>
  <si>
    <t>Dijkstra, Henk A./H-2559-2016</t>
  </si>
  <si>
    <t>4 PARK SQUARE, MILTON PARK, ABINGDON OX14 4RN, OXON, ENGLAND</t>
  </si>
  <si>
    <t>0309-1929</t>
  </si>
  <si>
    <t>GEOPHYS ASTRO FLUID</t>
  </si>
  <si>
    <t>Geophys. Astrophys. Fluid Dyn.</t>
  </si>
  <si>
    <t>10.1080/03091929808245478</t>
  </si>
  <si>
    <t>Astronomy &amp; Astrophysics; Geochemistry &amp; Geophysics; Mechanics</t>
  </si>
  <si>
    <t>134ZW</t>
  </si>
  <si>
    <t>WOS:000076775000007</t>
  </si>
  <si>
    <t>Borisov, S; Nof, D</t>
  </si>
  <si>
    <t>Deep, cross-equatorial eddies</t>
  </si>
  <si>
    <t>particle trajectories; interhemispheric exchange; potential vorticity alteration; eddy splitting</t>
  </si>
  <si>
    <t>ANTARCTIC BOTTOM WATER; FLUX-CORRECTED TRANSPORT; WESTERN ATLANTIC-OCEAN; SLOPING BOTTOM; NORTH-ATLANTIC; COLD EDDIES; CURRENTS; CIRCULATION; PACIFIC; MODEL</t>
  </si>
  <si>
    <t>The question of how deep ocean eddies can cross the equator is addressed with the aid of analytical and numerical models. We focus on the possibility that deep ocean (lens-like) eddies can cross the equator via deep cross equatorial channels on the ocean floor. We first examine the behavior of solid balls (i.e., free particles) in a meridional parabolic channel on a beta plane. Such balls are subject to similar topographical forcing and inertial forces that a lens is subject to, except that pressure forces and friction are absent. We examine both single isolated balls and a cloud of(noninteractive) balls. In general, the balls' trajectories have a chaotic character; a fraction of the cloud crosses the equator and ends up in the northern hemisphere, and a fraction is left behind. More realistic numerical experiments (with a fully nonlinear reduced-gravity isopycnic model of the Black and Boudra type) show similar behavior. In all cases the equator acts as an eddy smasher in the sense that it breaks the lens into at least two parts, one crosses the equator and ends up in the northern hemisphere, and the other is left behind. Here, however, the system is not chaotic. Despite the obvious differences between clouds of balls and eddies, there is a remarkable similarity between the percentage of balls that penetrate into the opposite hemisphere and the percentage of eddies' mass that ends up in the other hemisphere. This suggests that the geometry of the channel and the presence of the equator determine how the fluid will be partitioned among the two hemispheres.</t>
  </si>
  <si>
    <t>Florida State Univ, Dept Oceanog 4320, Tallahassee, FL 32306 USA; Parasoft Corp, Monrovia, CA 91016 USA; Florida State Univ, Inst Geophys Fluid Dynam, Tallahassee, FL 32306 USA</t>
  </si>
  <si>
    <t>State University System of Florida; Florida State University; State University System of Florida; Florida State University</t>
  </si>
  <si>
    <t>Borisov, S (corresponding author), Florida State Univ, Dept Oceanog 4320, Tallahassee, FL 32306 USA.</t>
  </si>
  <si>
    <t>1029-0419</t>
  </si>
  <si>
    <t>10.1080/03091929808221150</t>
  </si>
  <si>
    <t>ZU528</t>
  </si>
  <si>
    <t>WOS:000074207100007</t>
  </si>
  <si>
    <t>Scheer, J; Reisin, ER; Greet, PA; Dyson, PL; Smith, RW; Hernandez, G</t>
  </si>
  <si>
    <t>Comment on paper: 'Trends of airglow imager observations near Adelaide, Australia' by J. H. Hecht, R. E. Walterscheid, J. Woithe, L. Campbell, R. A. Vincent, and I. M. Reid</t>
  </si>
  <si>
    <t>ROTATIONAL TEMPERATURES; SOUTH-POLE; OH; SPECTROMETER; ANTARCTICA; EMISSIONS; WAVES; BAND</t>
  </si>
  <si>
    <t>The paper by Hecht et al, [1997], hereinafter called HWWCVR, presents results of upper-mesospheric/lower-thermospheric observations performed from April, 1995 to January, 1996 from Buckland Park Field Station (35 degrees S), near Adelaide, Australia. In the abstract, the authors claim to have obtained 'the first seasonal results from the mid-latitude southern hemisphere mesopause region', regarding (among other parame ters) temperatures. Further, this statement is again repeated in the Conclusions: 'Finally, the work presents the first set of seasonal temperature variations from the mesopause region in the mid latitude southern hemisphere'. The published literature offers much contrary evidence to this claim, and its inclusion would have placed the contribution of the HWWCVR work in its proper context as a confirmation of the earlier investigations. Papers on southern midlatitude mesopause region seasonal temperature variations have been available in the open literature for nearly 30 years, starting with the work of Armstrong [1968] at Camden, Australia, and more recently, the two-year investigation by Greet and Jacka [1989] at Mount Torrens (also near Adelaide), Australia. At southern midlatitude locations other than Australia, there has been the report published by Scheer and Reisin [1990]. This paper contains results from 32 degrees S in Argentina, for both the OH(6-2) and the O-2(0-1) bands (the same airglow bands employed by HWWCVR), and is based on 54 nights of measurements done in four campaigns from 1984 to 1987. Also it reports the typical (warm winter) mesopause variation for the OH layer, and an unusual, cold-winter, temperature variation at the height of the O-2 emission. In addition, Scheer and Reisin found that OH temperatures were warmer than the O-2 temperatures during winter. In HWWCVR's Figure 1, which shows nocturnal mean rotational temperatures of OH and O-2, a similar and confirming behavior is evident. With reference to their Figure I, HWWCVR further state that 'These are the first measurements of mesopause temperatures in the mid-latitude southern hemisphere', neglecting all earlier work from the midlatitude regions of the Southern Hemisphere, such as Argentina [Scheer, 1987, 1995; Scheer and Reisin, 1990; Reisin and Scheer, 1996] and Australia [Armstrong, 1968, 1975; Greet and Jacka, 1989; Hobbs et al., 1996]. Reports from other latitude regions of the Southern Hemisphere, including Brasil [Takahashi et al., 1974, 1977, 1994] and Antarctica [Hernandez et al., 1992, 1995; Greet et al., 1994; Sivjee and Walterscheid, 1994; Williams, 1996] also exist; however, they may not be directly relevant to the primary context of HWWCVR. Temperature data from the SME satellite are also available with complete seasonal coverage between 40 degrees S and 40 degrees N [Clancy and Rusch, 1989], albeit limited in local time coverage. With respect to the observed temperature difference between the OH and the O-2 layers, as shown in Figure 1 of HWWCVR (and comparison with Figure 1 in Scheer and Reisin [1990]), it should be remembered that systematic errors due to uncertainties in transition probabilities [see, e.g., Turnbull and Lowe, 1989; Scheer et al., 1994] as well as instrumental factors [e.g., Hecht et al., 1995] can easily combine to cause systematic uncertainties of the order of 10K for OH. A similar uncertainty would be expected for O-2 temperatures. In response to Hecht et al.'s reply, we simply emphasize the direct relevance of papers in the open literature that predate HWWCVR's confirming report and which present seasonal results from the midlatitude southern hemisphere mesopause region.</t>
  </si>
  <si>
    <t>PRONARP, RA-1414 Buenos Aires, DF, Argentina; La Trobe Univ, Sch Phys, Bundoora, Vic 3083, Australia; Australian Antarctic Div, Kingston, Tas 7053, Australia; Univ Washington, Grad Program Geophys, Seattle, WA 98195 USA; Univ Alaska, Inst Geophys, Fairbanks, AK 99775 USA</t>
  </si>
  <si>
    <t>La Trobe University; Australian Antarctic Division; University of Washington; University of Washington Seattle; University of Alaska System; University of Alaska Fairbanks</t>
  </si>
  <si>
    <t>Scheer, J (corresponding author), PRONARP, J Alvarez 1218, RA-1414 Buenos Aires, DF, Argentina.</t>
  </si>
  <si>
    <t>Smith, Richard/JZD-2895-2024</t>
  </si>
  <si>
    <t>10.1029/97GL03302</t>
  </si>
  <si>
    <t>YQ302</t>
  </si>
  <si>
    <t>WOS:000071371700006</t>
  </si>
  <si>
    <t>Bhattacharya, S; Kar, R</t>
  </si>
  <si>
    <t>Structural constraints on reworking in the Western Ghats Granulite Belt, India and the Antarctic analogue</t>
  </si>
  <si>
    <t>GONDWANA RESEARCH</t>
  </si>
  <si>
    <t>structural reworking; Pan-African; Western Ghats; pre-drift; Gondwanaland</t>
  </si>
  <si>
    <t>ENDERBY LAND; SOUTH-INDIA; 2-STAGE DECOMPRESSION; EAST ANTARCTICA; FYFE HILLS; EVOLUTION; KERALA</t>
  </si>
  <si>
    <t>The Granulite Belt along the West Coast of India in Kerala-Tamil Nadu is particularly important for the study of Proterozoic events in the pre-drift East Gondwana super-continent. In Antarctica, structural, petrological and geochronological lines of evidence points to a Proterozoic reworking of Archaean granulites. In the Western Ghats Granulite Belt the Late Proterozoic (Pan African) event is overwhelmingly dominant, though some Late Archaean to Early Proterozoic granulites have been reported. Structural evidence presented here points to a Late Proterozoic reworking resulting in a break or discontinuity in the tectonic evolution of this granulite belt. Thus relicts or vestiges of probable Late Archaean to Early Proterozoic granulites are recognised in the largely Pan-African granulite belt of the Western Ghats.</t>
  </si>
  <si>
    <t>Indian Stat Inst, Geol Studies Unit, Calcutta 700035, W Bengal, India</t>
  </si>
  <si>
    <t>Indian Statistical Institute; Indian Statistical Institute Kolkata</t>
  </si>
  <si>
    <t>Bhattacharya, S (corresponding author), Indian Stat Inst, Geol Studies Unit, 203 BT Rd, Calcutta 700035, W Bengal, India.</t>
  </si>
  <si>
    <t>INT ASSOC GONDWANA RESEARCH</t>
  </si>
  <si>
    <t>OSAKA</t>
  </si>
  <si>
    <t>OSAKA CITY UNIV, DEPT GEOSCIENCES, FACULTY SCIENCE, OSAKA, 558, JAPAN</t>
  </si>
  <si>
    <t>1342-937X</t>
  </si>
  <si>
    <t>GONDWANA RES</t>
  </si>
  <si>
    <t>Gondwana Res.</t>
  </si>
  <si>
    <t>10.1016/S1342-937X(05)70839-X</t>
  </si>
  <si>
    <t>208KQ</t>
  </si>
  <si>
    <t>WOS:000080990400012</t>
  </si>
  <si>
    <t>Sadowska, A</t>
  </si>
  <si>
    <t>Pollen morphology of two angiospermous plants from Antarctica - Colobanthus guitensis and Deschampsia antarctica</t>
  </si>
  <si>
    <t>GRANA</t>
  </si>
  <si>
    <t>Only two angiospermous species grow in Antarctica, namely Colobanthus quitensis (Caryophyllaceae) and Deschampsia antarctica (Poaceae). Their pollen grains have been studied using light (LM) and scanning electron microscopy (SEM). Their morphology is characterized, described and illustrated. This contributes to a more comprehensive knowledge of the Antarctic flora and its use in palynostratigraphical investigations.</t>
  </si>
  <si>
    <t>Univ Wroclaw, Inst Geol Sci, PL-50205 Wroclaw, Poland</t>
  </si>
  <si>
    <t>University of Wroclaw</t>
  </si>
  <si>
    <t>Sadowska, A (corresponding author), Univ Wroclaw, Inst Geol Sci, Cybulskiego 30, PL-50205 Wroclaw, Poland.</t>
  </si>
  <si>
    <t>SCANDINAVIAN UNIVERSITY PRESS</t>
  </si>
  <si>
    <t>PO BOX 2959 TOYEN, JOURNAL DIVISION CUSTOMER SERVICE, N-0608 OSLO, NORWAY</t>
  </si>
  <si>
    <t>0017-3134</t>
  </si>
  <si>
    <t>Grana</t>
  </si>
  <si>
    <t>10.1080/00173139809362641</t>
  </si>
  <si>
    <t>100FE</t>
  </si>
  <si>
    <t>WOS:000074804500009</t>
  </si>
  <si>
    <t>Schulz, K</t>
  </si>
  <si>
    <t>A new species of Xantharus Andronov, 1981 (Copepoda: Calanoida) from the mesopelagic zone of the Antarctic Ocean</t>
  </si>
  <si>
    <t>HELGOLANDER MEERESUNTERSUCHUNGEN</t>
  </si>
  <si>
    <t>FAMILY; GENUS</t>
  </si>
  <si>
    <t>Xantharus renatehaassae sp, nov. is described from a female taken at mesopelagic depth of the Antarctic Sound. This is the second species within the genus to be described and the first record of Xantharus in the southern hemisphere. A diagnosis of the genus is presented. Primarily, the structure of the maxillar aesthetascs showed that Xantharus belongs to the Scolecitrichidae, and not to the Phaennidae as was originally proposed. Its most outstanding generic feature relates to the structure of the distal segments of the short antennule with some plesiomorphic conditions retained by particular mouthparts.</t>
  </si>
  <si>
    <t>Univ Hamburg, Zool Inst &amp; Museum, D-20146 Hamburg, Germany</t>
  </si>
  <si>
    <t>Schulz, K (corresponding author), Univ Hamburg, Zool Inst &amp; Museum, Martin Luther King Pl 3, D-20146 Hamburg, Germany.</t>
  </si>
  <si>
    <t>BIOLOGISCHE ANSTALT HELGOLAND</t>
  </si>
  <si>
    <t>HAMBURG</t>
  </si>
  <si>
    <t>NOTKESTRASSE 31, 22607 HAMBURG, GERMANY</t>
  </si>
  <si>
    <t>0174-3597</t>
  </si>
  <si>
    <t>HELGOLANDER MEERESUN</t>
  </si>
  <si>
    <t>Helgol. Meeresunters.</t>
  </si>
  <si>
    <t>10.1007/BF02908734</t>
  </si>
  <si>
    <t>Marine &amp; Freshwater Biology; Oceanography</t>
  </si>
  <si>
    <t>105LQ</t>
  </si>
  <si>
    <t>WOS:000075074900004</t>
  </si>
  <si>
    <t>Izaguirre, I; Vinocur, A; Mataloni, G; Pose, M</t>
  </si>
  <si>
    <t>Phytoplankton communities in relation to trophic status in lakes from Hope Bay (Antarctic Peninsula)</t>
  </si>
  <si>
    <t>HYDROBIOLOGIA</t>
  </si>
  <si>
    <t>10th Workshop of the International-Association-of-Phytoplankton-Taxonomy-and-Ecology (IAP)</t>
  </si>
  <si>
    <t>JUN 21-29, 1996</t>
  </si>
  <si>
    <t>GRANADA, SPAIN</t>
  </si>
  <si>
    <t>Antarctica; lakes; phytoplankton; trophic status; typology</t>
  </si>
  <si>
    <t>Nine lakes and ponds of Hope Bay (Antarctic Peninsula), with different trophic status were surveyed during four summer periods between 1991 and 1996. Some limnological features and the structure of their algal assemblages were strongly influenced by the eutrophication caused by sea-birds activity in their areas. Such differences among lakes were evidenced by the results of Principal Component Analyses, based on both physico-chemical and phytoplankton data. Oligotrophic lakes showed a scarce phytoplankton, commonly dominated by small flagellated Chrysophyceae, and a well developed phytobenthos. Water bodies enriched by ornithogenic nutrients revealed an abundant phytoplankton usually dominated by Chlorophyceae (Volvocales) and planktonic Cyanobacteria. A study on one particular lake showed that summer changes in the phytoplankton community were mainly affected by physical phenomena such as variation in light intensity, and thawing, mixing and freezing processes.</t>
  </si>
  <si>
    <t>Univ Buenos Aires, Fac Ciencias Exactas &amp; Nat, Dept Ciencias Biol, RA-1428 Buenos Aires, DF, Argentina.</t>
  </si>
  <si>
    <t>iri@bg.fcen.uba.ar</t>
  </si>
  <si>
    <t>0018-8158</t>
  </si>
  <si>
    <t>1573-5117</t>
  </si>
  <si>
    <t>Hydrobiologia</t>
  </si>
  <si>
    <t>10.1023/A:1017070415024</t>
  </si>
  <si>
    <t>125WK</t>
  </si>
  <si>
    <t>WOS:000076259900007</t>
  </si>
  <si>
    <t>Crandall, FB; Gibson, R</t>
  </si>
  <si>
    <t>A second genus of pelagic Cratenemertidae (Nemertea, Hoplonemertea)</t>
  </si>
  <si>
    <t>4th International Conference on Nemertean Biology</t>
  </si>
  <si>
    <t>JUL 14-19, 1995</t>
  </si>
  <si>
    <t>PACIFIC GROVE, CALIFORNIA</t>
  </si>
  <si>
    <t>pelagic nemertea; Antarctic; Achoronemertes scoresbyi; Korotkevitschia pelagicus</t>
  </si>
  <si>
    <t>NIPPONNEMERTES-PULCHER JOHNSTON; TERRESTRIAL; EVOLUTION; BIOLOGY; ENOPLA</t>
  </si>
  <si>
    <t>Previously recognized pelagic nemerteans, with the single exception of Korotkevitschia pelagicus, have been polystiliferous hoplonemerteans. The briefly described Amphiporus scoresbyi, later transferred to Nipponnemertes, was unrecognized as a pelagic form. Re-examination of the type material and re-evaluation of the collection data reveal that this form represents a second pelagic genus of the Cratenemertidae, and it is here redescribed as Achoronemertes scoresbyi gen. ct comb. n. The importance of these findings rests largely in the fact that despite the clearcut family, geographic, and habitat affinities between Korotkevitschia and Achoronemertes gen. n., their numerous differences in morphology are as striking as some of the differences among the polystiliferous pelagic genera and may provide a new perspective for re-evaluation of pelagic forms generally. An English translation of Korotkevich's (1961, Zool. Zh. 40: 1416-1420) original description of Korotkevitschia pelagicus is included as an appendix.</t>
  </si>
  <si>
    <t>Turkey Run Res Inst, Mclean, VA 22101 USA; Liverpool John Moores Univ, Sch Biol &amp; Earth Sci, Liverpool L3 3AF, Merseyside, England</t>
  </si>
  <si>
    <t>Liverpool John Moores University</t>
  </si>
  <si>
    <t>Crandall, FB (corresponding author), Turkey Run Res Inst, 900 Turkey Run Rd, Mclean, VA 22101 USA.</t>
  </si>
  <si>
    <t>114XX</t>
  </si>
  <si>
    <t>WOS:000075635400016</t>
  </si>
  <si>
    <t>Duplessy, JC; Arnold, M; Bard, E; Cortijo, E; Labeyrie, L; Laj, C; Lehman, B; Mazaud, A; Paterne, M; Tisnerat, N; Vidal, L</t>
  </si>
  <si>
    <t>Causse, C; Gasse, F</t>
  </si>
  <si>
    <t>Carbon 14 Dating: Recent progress and limits of the method</t>
  </si>
  <si>
    <t>HYDROLOGY AND ISOTOPE GEOCHEMISTRY</t>
  </si>
  <si>
    <t>COLLOQUES ET SEMINAIRES</t>
  </si>
  <si>
    <t>International Symposium in Memory of Jean-Charles Fontes on Hydrology and Isotope Geochemistry</t>
  </si>
  <si>
    <t>JUN 01-02, 1995</t>
  </si>
  <si>
    <t>PARIS, FRANCE</t>
  </si>
  <si>
    <t>dating method; radiocarbon; paleoclimatology; paleoceanography</t>
  </si>
  <si>
    <t>ACCELERATOR MASS-SPECTROMETRY; LAST DEGLACIATION; ATLANTIC-OCEAN; ANTARCTIC ICE; C-14; RADIOCARBON; AGES; PALEOHYDROLOGY; ATMOSPHERE; INTENSITY</t>
  </si>
  <si>
    <t>CNRS, Ctr Faibles Radioactiv, Lab Mixte, CEA, F-91198 Gif Sur Yvette, France</t>
  </si>
  <si>
    <t>Universite Paris Saclay; CEA; Centre National de la Recherche Scientifique (CNRS)</t>
  </si>
  <si>
    <t>Duplessy, JC (corresponding author), CNRS, Ctr Faibles Radioactiv, Lab Mixte, CEA, F-91198 Gif Sur Yvette, France.</t>
  </si>
  <si>
    <t>Vidal, Laurence/C-1860-2019; Labeyrie, Laurent Denis/AAV-8405-2021</t>
  </si>
  <si>
    <t>Labeyrie, Laurent Denis/0000-0002-1554-2449</t>
  </si>
  <si>
    <t>ORSTOM EDITIONS</t>
  </si>
  <si>
    <t>213, RUE LA FAYETTE, F-75480 PARIS, FRANCE</t>
  </si>
  <si>
    <t>0767-2896</t>
  </si>
  <si>
    <t>2-7099-1377-1</t>
  </si>
  <si>
    <t>COLLOQ SEMI</t>
  </si>
  <si>
    <t>BN41N</t>
  </si>
  <si>
    <t>WOS:000081875300013</t>
  </si>
  <si>
    <t>Labadie, JC</t>
  </si>
  <si>
    <t>IIR; IIR</t>
  </si>
  <si>
    <t>Adaptation of micro-organisms to cold</t>
  </si>
  <si>
    <t>HYGIENE, QUALITY &amp; SAFETY IN THE COLD CHAIN AND AIR CONDITIONING</t>
  </si>
  <si>
    <t>REFRIGERATION SCIENCE AND TECHNOLOGY</t>
  </si>
  <si>
    <t>Conference on Hygiene, Quality and Safety in the Cold Chain and Air-Conditioning</t>
  </si>
  <si>
    <t>SEP 16-18, 1998</t>
  </si>
  <si>
    <t>NANTES, FRANCE</t>
  </si>
  <si>
    <t>ARTHROBACTER-GLOBIFORMIS SI55; ACID BINDING-PROTEINS; ESCHERICHIA-COLI; LISTERIA-MONOCYTOGENES; PSYCHROTROPHIC BACTERIUM; LOW-TEMPERATURE; SHOCK PROTEIN; ACCLIMATION PROTEINS; GROWTH; CSPA</t>
  </si>
  <si>
    <t>Media permanently cold represent the largest part of the biosphere (95% of the water of oceans). For the most remote times, these media have been colonized by living organisms. Among them, micro-organisms are incontestably the most numerous. This colonization comes from a selection which has led to retain numerous genes whose role is, on one hand, to make proteic synthesis possible at cold conditions, and, on the other hand, to maintain metabolic activities necessary to life or survival. The main consequence of this evolution is the presence of psychrotrophic germs (temperate and arctic zones) and psychrophilic germs (arctic and antarctic zones), which belong to numerous types and species being able to survive and to multiply at a temperature around 0 degrees C. By re-creating artificially media permanently cold, such as cold rooms, refrigerators, cold stores, home refrigerators, etc., the food industry selects and maintains a psychrotrophic microbial flora that can colonize food products. Such a colonization, associated to that of raw materials used to prepare food products, causes unhealthiness and/or reduction of storage times, and even production losses originating important economical losses. The study of interactions between psychrotrophic microbial flora surviving in media permanently cold or not, on industrial sites, is a rather new research field which might generate numerous results, both fundamental and applied.</t>
  </si>
  <si>
    <t>INRA, SRV, F-63122 St Genes Champanelle, France</t>
  </si>
  <si>
    <t>INRAE</t>
  </si>
  <si>
    <t>Labadie, JC (corresponding author), INRA, SRV, F-63122 St Genes Champanelle, France.</t>
  </si>
  <si>
    <t>INT INST REFRIGERATION</t>
  </si>
  <si>
    <t>177 BLVD MALESHERBES, F-75017 PARIS, FRANCE</t>
  </si>
  <si>
    <t>0151-1637</t>
  </si>
  <si>
    <t>2-913149-03-0</t>
  </si>
  <si>
    <t>REFR SCI T</t>
  </si>
  <si>
    <t>Food Science &amp; Technology</t>
  </si>
  <si>
    <t>BP39B</t>
  </si>
  <si>
    <t>WOS:000084978600005</t>
  </si>
  <si>
    <t>Dmitrenko, I; Golovin, P; Gribanov, V; Kassens, H; Holeman, J</t>
  </si>
  <si>
    <t>Shen, HT</t>
  </si>
  <si>
    <t>Influence of the summer river runoff on ice formation in the Kara and Laptev Seas</t>
  </si>
  <si>
    <t>ICE IN SURFACE WATERS, VOL 1</t>
  </si>
  <si>
    <t>14th International Symposium on Ice</t>
  </si>
  <si>
    <t>JUL 27-31, 1998</t>
  </si>
  <si>
    <t>POTSDAM, NY</t>
  </si>
  <si>
    <t>Influence of the summer river runoff on the formation of land fast ice in the Kara and Laptev Seas in the wintertime is considered. Based on CTD-measurements in 1993 - 1996, a new mechanism forming the warm intermediate layer in the seasonal pycnocline is suggested. This is the isopycnic convergence of warm surface water beneath a water lens freshened by the river runoff. The heat exchange between the sea surface and the intermediate warm layer formed in the summer, is shown to determine the distribution of land fast ice during the autumn-winter period and the quasistationary position of its edge. It is located at the periphery of the freshened zone, since the heat content of the intermediate layer here is maximum. An analysis of theoretically possible heat exchange mechanisms between the sub-ice and a warm intermediate layer has indicated the priority role of the double diffusion process at the upper boundary of the warm intermediate layer.</t>
  </si>
  <si>
    <t>State Res Ctr Russian Federat, Arctic &amp; Antarctic Res Inst, St Petersburg, Russia</t>
  </si>
  <si>
    <t>Dmitrenko, I (corresponding author), State Res Ctr Russian Federat, Arctic &amp; Antarctic Res Inst, St Petersburg, Russia.</t>
  </si>
  <si>
    <t>A A BALKEMA PUBLISHERS</t>
  </si>
  <si>
    <t>SCHIPHOLWEG 107C, PO BOX 447, 2316 XC LEIDEN, NETHERLANDS</t>
  </si>
  <si>
    <t>90-5410-972-6</t>
  </si>
  <si>
    <t>Engineering, Civil; Water Resources</t>
  </si>
  <si>
    <t>Engineering; Water Resources</t>
  </si>
  <si>
    <t>BL78G</t>
  </si>
  <si>
    <t>WOS:000076720100036</t>
  </si>
  <si>
    <t>Tyshko, KP; Cherepanov, NV</t>
  </si>
  <si>
    <t>Supercooling of large water volumes: Laboratory experiments and hypotheses</t>
  </si>
  <si>
    <t>Laboratory experiments on the supercooling of sea and fresh water and the formation of frazil ice were earned out to clarify the main aspects of these processes under natural conditions. For this purpose, a thermally insulated annular basin with water flow induced by a propeller was used. The water was cooled by a mixture of small pieces of ice and sodium chloride, placed in the central separated part of the basin. The results obtained show that the extent of supercooling and the time until the onset of crystal formation are strongly dependent on the cooling rate. The probable causes of this dependence are discussed. In a different set of experiments, the formation mechanisms of active frazil and anchor ice were investigated. Such ice types were observed when the total mass of water remained in a supercooled state after crystallization. In these cases, the amount of supercooling did not exceed several hundredths degree centigrade, which also explains ice formation on the propeller and other objects placed in the flow. Measurements of water temperature in the thin contact layer on the surface of these objects showed oscillatory temperature fluctuations in the range of several thousandths degree centigrade. This phenomenon is caused by the dissipation of kinetic energy and its transformation into thermal energy. Thus during these rapid temperature oscillations, the cooling phase and the rate of cooling play an important role for the onset of crystal formation and may be one of the mechanisms of anchor ice formation, as this first set of experiments on supercooled water has shown.</t>
  </si>
  <si>
    <t>Tyshko, KP (corresponding author), Arctic &amp; Antarctic Res Inst, St Petersburg 199226, Russia.</t>
  </si>
  <si>
    <t>WOS:000076720100054</t>
  </si>
  <si>
    <t>Darovskikh, A; Fedotov, V; Tyshko, K; Johnsen, KP; Heygster, G; Eicken, H</t>
  </si>
  <si>
    <t>Growth velocity of freshwater ice and air bubble sizes linked to microwave radiometer measurements</t>
  </si>
  <si>
    <t>Passive microwave measurements at 37 GHz have been used to indirectly determine freshwater ice growth rates. The microwave interference effect at the air/ice and ice/water layer boundaries is considered theoretically as well as experimentally with freshwater ice grown in a tank at Lake Ladoga. It is shown that this coherence phenomenon is detectable and can be used to determine the thickness and the growth rate of thin ice. Calculations based on the strong fluctuation theory show that the period of the oscillations of the observed brightness temperatures with increasing ice thickness does not vary with air bubble diameter ranging between 0.1 and 3 mm, while it depends on the density of the ice. The amplitude of the oscillations decreases with increasing air bubble diameter. This was also observed in microwave radiometer measurements for ice grown to 1.7 cm thickness, with air bubble diameters ranging between 0.2 and 1.8 mm.</t>
  </si>
  <si>
    <t>Darovskikh, A (corresponding author), Arctic &amp; Antarctic Res Inst, St Petersburg 199226, Russia.</t>
  </si>
  <si>
    <t>Heygster, Georg C./B-4928-2014</t>
  </si>
  <si>
    <t>Heygster, Georg/0000-0003-2232-7429</t>
  </si>
  <si>
    <t>WOS:000076720100057</t>
  </si>
  <si>
    <t>Strakhov, MV; Fedotov, VI; Cherepanov, NV</t>
  </si>
  <si>
    <t>Laboratory investigations of snow, shuga and ice regulation in ridges</t>
  </si>
  <si>
    <t>Ice texture and ice strength in natural pressure ridges are highly variable as a result of regelation of ice pieces, snow and shuga. These processes were studied in laboratory experiments under a variety of initial conditions and employing different methods both for sea and freshwater ice. The results obtained show that the strength of ice formed during the compaction and regelation of snow-shuga mixtures in freshwater is up to two times higher than that formed in saltwater. Injection of supercooled water into the mixture noticeably increases ice strength. A further set of experiments demonstrated the effect of the initial composition of ice samples and their crystal structure on the final ice texture during the regelation in flowing water. It was also found that the characteristic textural features develop during freezing of cavities in the ice cover.</t>
  </si>
  <si>
    <t>Strakhov, MV (corresponding author), Arctic &amp; Antarctic Res Inst, St Petersburg 199226, Russia.</t>
  </si>
  <si>
    <t>WOS:000076720100059</t>
  </si>
  <si>
    <t>Norikane, L; Wilson, B; Jezek, K</t>
  </si>
  <si>
    <t>Stein, TI</t>
  </si>
  <si>
    <t>RADARSAT Antarctica mapping system: System overview - An update</t>
  </si>
  <si>
    <t>IGARSS '98 - 1998 INTERNATIONAL GEOSCIENCE AND REMOTE SENSING SYMPOSIUM, PROCEEDINGS VOLS 1-5: SENSING AND MANAGING THE ENVIRONMENT</t>
  </si>
  <si>
    <t>IEEE International Symposium on Geoscience and Remote Sensing (IGARSS)</t>
  </si>
  <si>
    <t>1998 International Geoscience and Remote Sensing Symposium (IGARSS 98) on Sensing and Managing the Environment</t>
  </si>
  <si>
    <t>JUL 06-10, 1998</t>
  </si>
  <si>
    <t>SEATTLE, WA</t>
  </si>
  <si>
    <t>In October 1997, RADARSAT mapped the entire Antarctic continent from space, presenting scientists with an unprecedented snapshot of the entire continent in the microwave spectrum. NASA has charged the Byrd Polar Research Center with the goal of producing a full continental map using this data, subject to a number of constraints to maximize the utility of the data to the scientific community. To meet these requirements, a number of SAR data processing techniques shall be applied including orthorectification processing, block adjustments for ephemeris refinements, simulation techniques and radiometric balancing for automated image seam removal. These techniques are implemented in the RADARSAT Antarctica Mapping System developed by Vexcel Corporation for the Byrd Polar Research Center. In this paper, we will provide an overview of the system and preliminary results obtained by processing data from the Antarctic Mapping Mission.</t>
  </si>
  <si>
    <t>Vexcel Corp, Boulder, CO 80301 USA</t>
  </si>
  <si>
    <t>Norikane, L (corresponding author), Vexcel Corp, 4909 Nautilus Ct, Boulder, CO 80301 USA.</t>
  </si>
  <si>
    <t>0-7803-4403-0</t>
  </si>
  <si>
    <t>INT GEOSCI REMOTE SE</t>
  </si>
  <si>
    <t>10.1109/IGARSS.1998.702873</t>
  </si>
  <si>
    <t>Geosciences, Multidisciplinary; Remote Sensing</t>
  </si>
  <si>
    <t>Geology; Remote Sensing</t>
  </si>
  <si>
    <t>BL34S</t>
  </si>
  <si>
    <t>WOS:000075217100088</t>
  </si>
  <si>
    <t>Maeno, H; Uratsuka, S; Okamoto, K</t>
  </si>
  <si>
    <t>Characteristics of the internal radio echoes in the Antarctic ice sheet using a mobile VHF radio echo sounder</t>
  </si>
  <si>
    <t>We developed a snowmobile-borne 179-MHz radar for radio-echo sounding of the Antarctic ice sheet, aiming at measuring ice of more than 3,000 m in thickness and its internal structure. The field observation was carried out with this radar around Dome-F and along the over-snow traverse route from the coast near Syowa Station to Dome-F, a distance of about 1,000 km. The bedrock topography was successfully measured under ice sheets thicker than 3,500 m, and the performance of the radar exceeded our expectations. The internal radio-echoes reflected were found to be strongly polarized at 14 points along the route. In addition, a good correlation was found between the measured surface flow vectors and the orientation dependence of the attenuation.</t>
  </si>
  <si>
    <t>Commun Res Lab, Koganei, Tokyo 184, Japan</t>
  </si>
  <si>
    <t>National Institute of Information &amp; Communications Technology (NICT) - Japan</t>
  </si>
  <si>
    <t>Maeno, H (corresponding author), Commun Res Lab, 4-2-1 Nukui Kita, Koganei, Tokyo 184, Japan.</t>
  </si>
  <si>
    <t>10.1109/IGARSS.1998.699646</t>
  </si>
  <si>
    <t>WOS:000075217100318</t>
  </si>
  <si>
    <t>Kaupp, V; Holt, B</t>
  </si>
  <si>
    <t>The Alaska SAR facility: Overview and key geophysical applications</t>
  </si>
  <si>
    <t>The Alaska SAR Facility (ASF) is the NASA Distributed Active Archive Center (DAAC) that provides SAR (synthetic aperture radar) data and data products to polar and earth systems science communities and to operational agencies. ASF currently supports the ERS-1 and ERS-2 flown by the European Space Agency (ESA), JERS-1 flown by the National Space Development Agency of Japan (NASDA), and RADARSAT flown by the Canadian Space Agency (CSA). ASF receives and archives SAR data for the US user community from ground stations at ASF and McMurdo base in Antarctica. ASF provides new acquisitions and archival data for many important geophysical disciplines, including sea ice, polar oceanography, volcanology, glaciology, wetlands ecosystems, forestry, geology, and oceanography. Examples of large scale campaigns or intense mapping projects are the Antarctic Mapping Mission, Global Rain Forest Mapping Project, and the Global Boreal Forest Mapping Project. This special session highlights these key disciplines and mapping campaigns. The paper will provide an overview of the SAR sensors, product characteristics, data availability and ordering procedures. Also, the paper will discuss software tools for users and planning for future sensors and activities.</t>
  </si>
  <si>
    <t>Univ Alaska, Inst Geophys, Alaska SAR Facil, Fairbanks, AK 99775 USA</t>
  </si>
  <si>
    <t>Kaupp, V (corresponding author), Univ Alaska, Inst Geophys, Alaska SAR Facil, Fairbanks, AK 99775 USA.</t>
  </si>
  <si>
    <t>10.1109/IGARSS.1998.691470</t>
  </si>
  <si>
    <t>WOS:000075217100461</t>
  </si>
  <si>
    <t>Stammerjohn, S; Smith, R; Drinkwater, MR; Liu, X</t>
  </si>
  <si>
    <t>Variability in sea-ice coverage and ice-motion dynamics in the PAL LTER study region west of the Antarctic Peninsula</t>
  </si>
  <si>
    <t>Sea-ice conditions and kinematics are studied in the Palmer Long-Term Ecological Research (PAL LTER) study region west of the Antarctic Peninsula, Remote sensing data from ERS-1 Synthetic Aperture Radar (SAR) and Scatterometer (EScat) and from DMSP SSM/I, are used to study the influence of synoptic weather systems on sea-ice characteristics during July-August 1992. Weather records from Palmer Station (64 degrees 46'5, 64 degrees 03'W) on Anvers Island show large cyclonic storms moving through the western Antarctic Peninsula (WAP) region on a quasi-weekly basis. Periods of strong north-westerly to north-easterly winds caused above normal air temperatures and in turn a rapid early retreat of the sea-ice cover in the WAP region. Ice motion derived from SSM/I images reveals the large-scale sea-ice kinematics during these periods together with statistical summaries of the impact of each storm upon regional opening/closing.</t>
  </si>
  <si>
    <t>Inst Computat Earth Syst Sci, Santa Barbara, CA 93106 USA</t>
  </si>
  <si>
    <t>Stammerjohn, S (corresponding author), Inst Computat Earth Syst Sci, Santa Barbara, CA 93106 USA.</t>
  </si>
  <si>
    <t>Drinkwater, Mark/C-2478-2011</t>
  </si>
  <si>
    <t>Drinkwater, Mark/0000-0002-9250-3806</t>
  </si>
  <si>
    <t>10.1109/IGARSS.1998.691480</t>
  </si>
  <si>
    <t>WOS:000075217100464</t>
  </si>
  <si>
    <t>Noltimier, KF; Jezek, KC; Wilson, TJ; Johnson, AC</t>
  </si>
  <si>
    <t>Evidence for the tectonic segmentation of the Antarctic Peninsula from integrated ERS-1 SAR mosaic and aeromagnetic anomaly data</t>
  </si>
  <si>
    <t>The Antarctic Peninsula (AP) is a Mesozoic-Cenozoic Andean-type magmatic an: resulting from subduction of Pacific Ocean lithosphere beneath its western margin. During the past 60 million years discrete segments of the Pacific-Phoenix spreading ridge have successively collided with the western margin of the AP diachronously from south to north in a series of ridge-crest collision episodes. Previous work suggested that the AP (upper plate) was tectonically segmented due to subduction of discrete ridge-crest segments, with segments bounded by the projection of oceanic fracture zones (OFZ). An ERS-1 SAR mosaic was created over the Graham Land-Palmer Land Transition Zone (TZ) and combined with aeromagnetic anomaly and mapped geologic data to study how the process of OFZ subduction modified AP structure. Good correlation of SAR lineament trends and mapped fault trends on Alexander Island provide evidence that some of the SAR lineaments are structurally controlled. Correlation between the SAR and aeromagnetic lineaments suggests both mark crustal structures in the TZ. A model invoking distributed left-lateral fault motion can produce that tight dextral curvature across the TZ and explain the lineament patterns. Correlation between lineament trends and OFZ traces suggests that faulting reflects the response of the AP crust to OFZ subduction.</t>
  </si>
  <si>
    <t>Ohio State Univ, Byrd Polar Res Ctr, Columbus, OH 43210 USA</t>
  </si>
  <si>
    <t>University System of Ohio; Ohio State University</t>
  </si>
  <si>
    <t>Noltimier, KF (corresponding author), Ohio State Univ, Byrd Polar Res Ctr, 1090 Carmack Rd, Columbus, OH 43210 USA.</t>
  </si>
  <si>
    <t>10.1109/IGARSS.1998.691486</t>
  </si>
  <si>
    <t>WOS:000075217100466</t>
  </si>
  <si>
    <t>Williams, RN; Crowther, P</t>
  </si>
  <si>
    <t>Application of a technique, based on local image homogeneity, to delineate spatial objects in satellite images.</t>
  </si>
  <si>
    <t>An object detection technique, employing a pixel bonding process guided by a local image homogeneity measure, has been used to delineate spatial objects in remotely-sensed images. The technique is based on an earlier technique. originally designed for sea ice mapping in the Arctic, and has been evaluated for more general application in the remote sensing field by attempting to use it to solve abject delineation problems in two different environmental remote sensing applications. The first application involved the delineation and subsequent analysis of icebergs in synthetic aperture radar images of the Antarctic coastline. The second application involved the automated tracing of paddock boundaries in SPOT images of agricultural areas in Tasmania.</t>
  </si>
  <si>
    <t>Univ Tasmania, Sch Comp, Launceston, Tas 7250, Australia</t>
  </si>
  <si>
    <t>Williams, RN (corresponding author), Univ Tasmania, Sch Comp, POB 1214, Launceston, Tas 7250, Australia.</t>
  </si>
  <si>
    <t>williams, Ray/HSE-3267-2023; Williams, Raymond/J-6104-2012</t>
  </si>
  <si>
    <t>10.1109/IGARSS.1998.691636</t>
  </si>
  <si>
    <t>WOS:000075217100517</t>
  </si>
  <si>
    <t>Gray, AL; Mattar, KE; Vachon, PW; Bindschadler, R; Jezek, KC; Forster, R; Crawford, JP</t>
  </si>
  <si>
    <t>InSAR results from the RADARSAT Antarctic Mapping Mission data: Estimation of glacier motion using a simple registration procedure</t>
  </si>
  <si>
    <t>An interferometric method is used to derive ice motion from RADARSAT data collected during the Antarctic Mapping Mission. Although one cannot solve for both topography and ice motion using one interferometric pair, it is possible to use a coarsely sampled digital terrain model to estimate ice motion using an image registration method. Less accurate than the usual fringe counting method for estimation of radial displacement, the image registration method allows useful motion estimation in both range and azimuth. The method is described and some results shown for a large area (similar to 17,000 km(2)) including ice flow into the Filchner Ice Shelf.</t>
  </si>
  <si>
    <t>Canada Ctr Remote Sensing, Ottawa, ON K1A OY7, Canada</t>
  </si>
  <si>
    <t>Natural Resources Canada; Strategic Policy &amp; Results Sector - Natural Resources Canada; Canada Centre for Mapping &amp; Earth Observation (CCMEO)</t>
  </si>
  <si>
    <t>Gray, AL (corresponding author), Canada Ctr Remote Sensing, 558 Booth St, Ottawa, ON K1A OY7, Canada.</t>
  </si>
  <si>
    <t>10.1109/IGARSS.1998.691662</t>
  </si>
  <si>
    <t>WOS:000075217100529</t>
  </si>
  <si>
    <t>Brandelik, A; Huebner, C; Doepke, G; Wunderle, S</t>
  </si>
  <si>
    <t>Advanced ground truth for snow and glacier sensing</t>
  </si>
  <si>
    <t>Snow development characteristic and the liquid water content dynamic on glacier snow packs are very important parameters for quantitative answers to global warming related questions. Avalanche and flood warning authorities need the same parameters from extended areas, too. Nordic water power plants require the expected filling stage of their water storage reservoirs to make early management decisions. Radar remote sensing is needed to monitor this. Today we still need a rather accurate ground reference for the radar image calibration. We developed a new in-situ snow moisture and density measuring device. Its patent application is pending. Measurements were made with this advanced device in winter 1995/96 in Germany and in winter 1996/97 on the glacier Plaine de la Morte, Switzerland. In oral presentation we will report on the correlation between in-situ and remotely sensed data concerning liquid water content and density. Furthermore we compare the gravimetric measured snow densities with our method. This winter one device is installed again in Germany and a second one is delivered to the Antarctic Peninsula, where the project crew of DYPAG will operate it. The device consists of a net of radio frequency transmission lines and of high and low frequency impedance analyzers. Preinstalled lines are enclosed by snow fall. The analyzers measure the dielectric coefficients a of the snow mixture along the transmission lines. One sensor line can have a length of approx. 100 m. In a cross laid pattern the covered area can be larger than the pixel size. In this manner a representative area can be measured non-destructive and long-term. Every in-situ snow measuring device has a disturbing air gap to snow. Our new device cancels out this basic drawback. The determination of liquid water content needs the knowledge of density, too. In our case, the same device, the net of lines, measures the density inherent (i.e. in the same place and in the same time). This is a further unique feature of this sensor. With reconstruction of transmission line parameters it is possible to localize ice lenses and percolation downflows along the line as well. The sensor is equipped with an hourly data logging.</t>
  </si>
  <si>
    <t>Univ Karlsruhe, Inst Meteorol &amp; Climate Res, Karlsruhe Res Ctr, Karlsruhe, Germany</t>
  </si>
  <si>
    <t>Brandelik, A (corresponding author), Univ Karlsruhe, Inst Meteorol &amp; Climate Res, Karlsruhe Res Ctr, Kaiserstr 12, Karlsruhe, Germany.</t>
  </si>
  <si>
    <t>10.1109/IGARSS.1998.703680</t>
  </si>
  <si>
    <t>WOS:000075217100606</t>
  </si>
  <si>
    <t>Hyland, G; Young, N</t>
  </si>
  <si>
    <t>Wind-induced directional anisotropy of microwave backscatter and its impact on imaging of the Antarctic continental snow cover</t>
  </si>
  <si>
    <t>The 500 km wide swath of the right-looking ERS wind scatterometer and the orbital geometry allows measurement of the microwave backscatter of the entire Antarctic region north of latitude 79 degrees S. The values of the backscatter coefficient depend on the incidence angle and look directions of the antenna beams. Models of microwave backscatter which omit the azimuthal modulation introduce significant biases and temporal variations into the isotropic component of the backscatter. Use of these models, therefore, is likely to mask real physical variations due to changing surface conditions in areas where directional anisotropy is significant.</t>
  </si>
  <si>
    <t>Hyland, G (corresponding author), Antarctic CRC, GPO Box 25280, Hobart, Tas 7001, Australia.</t>
  </si>
  <si>
    <t>10.1109/IGARSS.1998.703717</t>
  </si>
  <si>
    <t>WOS:000075217100642</t>
  </si>
  <si>
    <t>Nghiem, SV; Yueh, SH; Kwok, R; Perovich, DK; Gow, AJ; Barber, DG; Comiso, JC</t>
  </si>
  <si>
    <t>Remote sensing of sea ice surface thermal states under cloud cover</t>
  </si>
  <si>
    <t>It is necessary to know sea ice surface thermal states under cloud cover to evaluate cloud effects in the overall climatic feedback mechanisms in polar regions. The challenge is that traditional methods using radiometers such as AVHRR for surface temperature measurements fail under cloudy conditions. We present a new method combining C-band radar data to study sea ice surface temperature change and visible/infrared radiometer data to identify clouds. From laboratory experiments, we show that C-band radar backscatter is sensitive to sea ice surface thermal states. This relationship is utilized to develop the methodology for the sea ice surface temperature study. We present an example with ERS-1 SAR data, AVHRR data, and field experiment measurements over first-year and multi-year sea ice in the Canadian Arctic Archipelago to illustrate the methodology. In this example, SAR data show an increase in sea ice surface temperature, caused by an excess in the surface heat balance under cloud cover. The method is applicable to Arctic first-year ice. For Antarctic sea ice, this method is particularly appropriate since the Antarctic ice cover consists of vast regions of first-year ice where salinity levels are generally higher than those of Arctic sea ice of similar age and structure.</t>
  </si>
  <si>
    <t>California Institute of Technology; National Aeronautics &amp; Space Administration (NASA); NASA Jet Propulsion Laboratory (JPL)</t>
  </si>
  <si>
    <t>Nghiem, SV (corresponding author), CALTECH, Jet Prop Lab, 4800 Oak Grove Dr,MS 300-235, Pasadena, CA 91109 USA.</t>
  </si>
  <si>
    <t>Yueh, Simon/AAV-3920-2021; Kwok, Ronald/L-3968-2019</t>
  </si>
  <si>
    <t>Kwok, Ronald/0000-0003-4051-5896; Barber, David/0000-0001-9466-3291</t>
  </si>
  <si>
    <t>10.1109/IGARSS.1998.703792</t>
  </si>
  <si>
    <t>WOS:000075217100717</t>
  </si>
  <si>
    <t>Forster, RR; Jezek, KC; Sohn, HG; Gray, AL; Matter, KE</t>
  </si>
  <si>
    <t>Analysis of glacier flow dynamics from preliminary RADARSAT InSAR data of the Antarctic Mapping Mission</t>
  </si>
  <si>
    <t>Forster, RR (corresponding author), Ohio State Univ, Byrd Polar Res Ctr, 1090 Carmack Rd, Columbus, OH 43210 USA.</t>
  </si>
  <si>
    <t>10.1109/IGARSS.1998.703794</t>
  </si>
  <si>
    <t>WOS:000075217100719</t>
  </si>
  <si>
    <t>Yueh, SH; Kwok, R; Nghiem, SV; West, R</t>
  </si>
  <si>
    <t>Change monitoring of Antarctic sea ice using NSCAT dual-polarized backscatter measurements</t>
  </si>
  <si>
    <t>Polar sea ice characteristics and the timing of seasonal transitions are important parameters in the study of polar processes and climate changes. NSCAT Ku-band active microwave observations of the Antarctic sea ice cover are described in this article with emphasis on the monitoring of ice covers through the change of Ku-band backscatter signatures. A simple backscatter and polarization ratio threshold algorithm was used to discriminate sea ice and open water with NSCAT dual-polarized backscatter data. The estimated backscatter of classified sea ice pixels is illustrated. The new first year (FY) and pancake sea ice have a backscatter level similar to those of corresponding ice types in the Arctic, although the ice growth mechanisms are quite different. The significant changes of ice backscatter in the Weddell Sea correlates well the timing of fall freeze-up. This should provide a useful large-scale estimate of the dates of freeze-up. A more extensive validation of the potential of this dataset is definitely suggested.</t>
  </si>
  <si>
    <t>Yueh, SH (corresponding author), CALTECH, Jet Prop Lab, 4800 Oak Grove Dr,MS 300-235, Pasadena, CA 91109 USA.</t>
  </si>
  <si>
    <t>Kwok, Ronald/0000-0003-4051-5896</t>
  </si>
  <si>
    <t>10.1109/IGARSS.1998.703795</t>
  </si>
  <si>
    <t>WOS:000075217100720</t>
  </si>
  <si>
    <t>Park, JD; Jones, WL</t>
  </si>
  <si>
    <t>Comparison of neural network classifiers for NSCAT sea ice flag</t>
  </si>
  <si>
    <t>The NASA Scatterometer (NSCAT) is designed to measure wind vectors over ice-free oceans. To prevent contamination of the wind measurements, by the presence of sea ice, algorithms based on neural network technology have been developed to classify ice-free ocean surfaces. Multi-Layer Perceptron (MLP), Radial Basis Function (RBF) neural networks trained using normalized radar cross section measurements from Ku-band NSCAT Scatterometer are described and compared. Algorithm skill in locating the sea ice edge around Arctic and Antarctic regions is evaluated by comparisons with surface truth (SSMI and SAR images). Classification results show the usefulness of using neural network techniques in flagging ice-free cells in real time and independently of other sensors.</t>
  </si>
  <si>
    <t>Univ Cent Florida, Cent Florida Remote Sensing Lab, Dept Elect &amp; Comp Engn, Orlando, FL 32816 USA</t>
  </si>
  <si>
    <t>State University System of Florida; University of Central Florida</t>
  </si>
  <si>
    <t>Park, JD (corresponding author), Univ Cent Florida, Cent Florida Remote Sensing Lab, Dept Elect &amp; Comp Engn, Orlando, FL 32816 USA.</t>
  </si>
  <si>
    <t>Jones, W Linwood/AAX-9573-2020; Park, June Dong/J-5496-2012</t>
  </si>
  <si>
    <t>Jones, W Linwood/0000-0001-8796-4598</t>
  </si>
  <si>
    <t>10.1109/IGARSS.1998.703798</t>
  </si>
  <si>
    <t>WOS:000075217100723</t>
  </si>
  <si>
    <t>Jezek, KC</t>
  </si>
  <si>
    <t>Flow variations of the Antarctic ice sheet from comparison of modern and historical satellite data</t>
  </si>
  <si>
    <t>Jezek, KC (corresponding author), Ohio State Univ, Byrd Polar Res Ctr, 1090 Carmack Rd, Columbus, OH 43210 USA.</t>
  </si>
  <si>
    <t>10.1109/IGARSS.1998.703799</t>
  </si>
  <si>
    <t>WOS:000075217100724</t>
  </si>
  <si>
    <t>Rack, W; Rott, H; Nagler, T; Skvarca, P</t>
  </si>
  <si>
    <t>Areal changes and motion of northern Larsen Ice Shelf, Antarctic Peninsula</t>
  </si>
  <si>
    <t>IEEE International Symposium on Geoscience and Remote Sensing IGARSS</t>
  </si>
  <si>
    <t>Areal changes and motion field of the northern Larsen Ice Shelf, Antarctic Peninsula, were analyzed based on Landsat TM data from 1986 to 1989 and ERS SAR data from 1991 to 1997. During this period the ice shelf north of Jason Peninsula decreased from 16200 km(2) to 10600 km(2). The main single event was observed in January 1995, when the two northernmost sections disintegrated almost completely. Velocities on the ice shelf were derived from TM and SAR data by feature tracking using cross-correlation techniques, based on repeat images of one-year intervals. The satellite derived motion compares well with field measurements which are available at a few sites.</t>
  </si>
  <si>
    <t>Univ Innsbruck, Inst Meteorol &amp; Geophys, A-6020 Innsbruck, Austria</t>
  </si>
  <si>
    <t>University of Innsbruck</t>
  </si>
  <si>
    <t>Rack, W (corresponding author), Univ Innsbruck, Inst Meteorol &amp; Geophys, Innrain 52, A-6020 Innsbruck, Austria.</t>
  </si>
  <si>
    <t>wolfgang.rack@uibk.ac.at</t>
  </si>
  <si>
    <t>10.1109/IGARSS.1998.703800</t>
  </si>
  <si>
    <t>WOS:000075217100725</t>
  </si>
  <si>
    <t>Arthern, RJ; Winebrenner, DP</t>
  </si>
  <si>
    <t>Satellite observations of ice sheet accumulation rate</t>
  </si>
  <si>
    <t>Accurate predictions of sea level rise over the coming century will require improved knowledge of the processes controlling accumulation upon the Antarctic ice sheet. The sparsity of accumulation rate observations, both spatially and temporally, has hindered the development of this understanding. We describe a new method to observe accumulation rates using satellite observations of the thermal microwave emission at 4.5 cm wavelength. At this wavelength, scattering by grains is unimportant: the emissivity is controlled by reflections brought about by density stratification within the firn. The method relies upon a link between accumulation rate, and two parameters which characterize the stratification (the standard deviation of density fluctuations, and the mean layer thickness). By also linking these two parameters to the polarization ratio observed by the Scanning Multichannel Microwave Radiometer, the capability to map accumulation rates from space is developed. The resulting map broadly agrees with previously published compilations of Antarctic field data, though the importance of topography in controlling accumulation rates is made clearer. Regions of discrepancy with existing field data are likely associated with spatial variations in the development of snow crusts which strongly affect the polarization.</t>
  </si>
  <si>
    <t>Univ Washington, Appl Phys Lab, Polar Sci Ctr, Seattle, WA 98105 USA</t>
  </si>
  <si>
    <t>Arthern, RJ (corresponding author), Univ Washington, Appl Phys Lab, Polar Sci Ctr, 1013 NE 40th St, Seattle, WA 98105 USA.</t>
  </si>
  <si>
    <t>10.1109/IGARSS.1998.703802</t>
  </si>
  <si>
    <t>WOS:000075217100727</t>
  </si>
  <si>
    <t>Young, NW; Hyland, G</t>
  </si>
  <si>
    <t>Interannual variability of Antarctic snow melt events derived from scatterometer data</t>
  </si>
  <si>
    <t>Microwave backscatter from the Antarctic snow cover depends on the surface roughness, properties and structure within the snow cover, and moisture content. Small increases in moisture content produce a significant reduction in backscatter. This acts as a sensitive indicator of the occurrence of snow melt conditions. The ERS wind scatterometers provide an almost continuous sequence of observations of microwave backscatter coefficients over Antarctica north of latitude 79 degrees S since August 1991. Normalised values of the backscatter coefficient are calculated by removing the anisotropic contributions, mainly from a dependence on incidence angle. Depression of these values below a long term dry snow average indicates occurrence of snow melt. The results show a large variability between summer seasons of melt extent and duration. There was very extensive and intense melting in 1991-92, with much less melt in following seasons probably in response to a cooling following the Pinatubo eruption. 1997-98 has extensive melt with a total area approaching that for 1991-92.</t>
  </si>
  <si>
    <t>Young, NW (corresponding author), Antarctic CRC, GPO Box 252-80, Hobart, Tas 7001, Australia.</t>
  </si>
  <si>
    <t>10.1109/IGARSS.1998.703806</t>
  </si>
  <si>
    <t>WOS:000075217100731</t>
  </si>
  <si>
    <t>Doherty, SJ; Warren, SG</t>
  </si>
  <si>
    <t>The Antarctic and Greenland snow surfaces as calibration targets for the visible channel of the Advanced Very High Resolution Radiometer</t>
  </si>
  <si>
    <t>The snow surfaces of the high plateaus of the East Antarctic and Greenland ice sheets are used to determine multi-year drift in the sensitivity of the visible channel of the Advanced Very High Resolution Radiometer (AVHRR) instruments on the polar-orbiting satellites NOAA-9, 10, and 11. Bidirectional reflectance distribution functions (BRDFs) are empirically derived for the months of October-February (Antarctica) and April-August (Greenland) using simplified atmospheric model. The BRDF of the snow surface should not change from year to year for near-nadir satellite views. Therefore, drift in normalized monthly averages of the derived BRDFs is interpreted as showing a change in channel sensitivity. Using this method, we show that the visible channel on NOAA-9 degraded linearly over the lifetime of the instrument (February 1985-October 1988) by 5.2%/year. The detrended monthly average BRDFs have a standard deviation of 1%, indicating that the sensitivity changed at a constant rate. The drift of channel 1 on NOAA-IO (December 1986-August 1991) was non-linear, but could be fitted with a fourth order polynomial. The visible channel on NOAA-11 was much noisier, with a detrended standard deviation of similar to 3%, indicating that this satellite experienced month-to-month sensitivity changes. Data processed for November 1988-February 1991 showed a linear increase in sensitivity of 0.5%/year.</t>
  </si>
  <si>
    <t>Univ Washington, Dept Atmospher Sci, Seattle, WA 98195 USA</t>
  </si>
  <si>
    <t>Doherty, SJ (corresponding author), Univ Washington, Dept Atmospher Sci, Box 351640, Seattle, WA 98195 USA.</t>
  </si>
  <si>
    <t>10.1109/IGARSS.1998.703808</t>
  </si>
  <si>
    <t>WOS:000075217100733</t>
  </si>
  <si>
    <t>Srivastava, SK; Banik, BT; Adamovic, M; Hawkins, RK; Lukowski, TI; Murnaghan, KP; Jefferies, WC</t>
  </si>
  <si>
    <t>RADARSAT image quality and calibration performance-update</t>
  </si>
  <si>
    <t>This paper reviews image quality and radiometric calibration aspects of the first two years of operation of RADARSAT. This includes the initialization of almost all beams, stability and calibration accuracies achieved during the mission to date. In September 1997, RADARSAT underwent a major configuration change to accommodate the Antarctic Mapping Mission for a period of about five weeks. To achieve this, the spacecraft was rotated to allow imaging from a left-looking geometry. The image quality and calibration results for the left-looking mode are also discussed.</t>
  </si>
  <si>
    <t>Canadian Space Agcy, RADARSAT Operat, St Hubert, PQ J3Y 8Y9, Canada</t>
  </si>
  <si>
    <t>Canadian Space Agency</t>
  </si>
  <si>
    <t>Srivastava, SK (corresponding author), Canadian Space Agcy, RADARSAT Operat, 6767 Route Aeroport, St Hubert, PQ J3Y 8Y9, Canada.</t>
  </si>
  <si>
    <t>10.1109/IGARSS.1998.702244</t>
  </si>
  <si>
    <t>WOS:000075217100792</t>
  </si>
  <si>
    <t>Jezek, KC; Sohn, HG; Noltimier, KF</t>
  </si>
  <si>
    <t>The radarsat Antarctic mapping project</t>
  </si>
  <si>
    <t>10.1109/IGARSS.1998.702246</t>
  </si>
  <si>
    <t>WOS:000075217100794</t>
  </si>
  <si>
    <t>Mondet, J; Leroux, C; Fily, M</t>
  </si>
  <si>
    <t>Antarctic snow reflectance from ADEOS/POLDER measurements</t>
  </si>
  <si>
    <t>Univ Grenoble 1, Lab Glaciol &amp; Geophys Environm, CNRS, F-38402 St Martin Dheres, France</t>
  </si>
  <si>
    <t>Communaute Universite Grenoble Alpes; Universite Grenoble Alpes (UGA); Centre National de la Recherche Scientifique (CNRS)</t>
  </si>
  <si>
    <t>Mondet, J (corresponding author), Univ Grenoble 1, Lab Glaciol &amp; Geophys Environm, CNRS, 54 Rue Moliere,BP 96, F-38402 St Martin Dheres, France.</t>
  </si>
  <si>
    <t>10.1109/IGARSS.1998.702272</t>
  </si>
  <si>
    <t>WOS:000075217100820</t>
  </si>
  <si>
    <t>Storey, JWV; Ashley, MCB; Burton, MG; Phillips, MA</t>
  </si>
  <si>
    <t>Fowler, AM</t>
  </si>
  <si>
    <t>Site conditions for astronomy at the South Pole</t>
  </si>
  <si>
    <t>INFRARED ASTRONOMICAL INSTRUMENTATION, PTS 1-2</t>
  </si>
  <si>
    <t>SPIE Conference on Infrared Astronomical Instrumentation</t>
  </si>
  <si>
    <t>MAR 23-25, 1998</t>
  </si>
  <si>
    <t>Antarctica; site testing; astronomy; infrared; seeing</t>
  </si>
  <si>
    <t>We discuss the site conditions for astronomy at the South Pole and over the Antarctic plateau. We find that these conditions are the most favorable on Earth for sensitive observations at thermal infrared and sub-millimeter wavelengths. We further discuss plans to develop infrared facilities to exploit this potential.</t>
  </si>
  <si>
    <t>Storey, JWV (corresponding author), Univ New S Wales, Sch Phys, Joint Australian Ctr Astrophys Res Antarctica, Sydney, NSW 2052, Australia.</t>
  </si>
  <si>
    <t>Ashley, Michael/0000-0003-1412-2028; Burton, Michael/0000-0001-7289-1998</t>
  </si>
  <si>
    <t>0-8194-2801-9</t>
  </si>
  <si>
    <t>1-2</t>
  </si>
  <si>
    <t>10.1117/12.317241</t>
  </si>
  <si>
    <t>BL60J</t>
  </si>
  <si>
    <t>WOS:000075982700127</t>
  </si>
  <si>
    <t>Abyzov, SS; Mitskevich, IN; Poglazova, MN; Barkov, NI; Lipenkov, VY; Bobin, NE; Koudryashov, BB; Pashkevich, VM</t>
  </si>
  <si>
    <t>Hoover, RB</t>
  </si>
  <si>
    <t>Long-term conservation of viable microorganisms in ice sheet of Central Antarctica</t>
  </si>
  <si>
    <t>INSTRUMENTS, METHODS, AND MISSIONS FOR ASTROBIOLOGY</t>
  </si>
  <si>
    <t>Conference on Instruments, Methods, and Missions for Astrobiology</t>
  </si>
  <si>
    <t>JUL 20-22, 1998</t>
  </si>
  <si>
    <t>SAN DIEGO, CA</t>
  </si>
  <si>
    <t>Antarctica; microorganisms; anabiosis; ice; exobiology</t>
  </si>
  <si>
    <t>Many investigators regard Antarctica as a model for solution of such problems as search of life on other planets, the quarantine in planets and at the Earth during interplanetary contacts. It is also a good natural experiment for studying the phenomenon of microbial long-term anabiosis. Remoteness from the regions of intensive anthropogenic effects, low stable temperature and reliable protection of ancient ice horizons against subsequent environmental changes make Antarctic ice sheet an ideal object for methodological works necessary for investigation of various problems of exobiology. Investigations of ice bodies in attempts to find there any possible form of life has an advantage over similar studies of other cosmic solids because microorganisms, spores, plant pollen, unicellular algae, and other inclusions rather easily release from the melted ice and their investigation by different methods depends only on the well thought-out techniques. Special techniques of aseptic sampling while drilling at Vostok station and analysis of these samples by different methods have provided evidence for the existence of viable microorganisms in very ancient layers of the ice sheet. The relationship between quantitative distribution of microbes at different horizons of the ice column with the Earth's climate fluctuations at the time of these layers formation was also demonstrated.</t>
  </si>
  <si>
    <t>Russian Acad Sci, Inst Microbiol, Moscow 117811, Russia</t>
  </si>
  <si>
    <t>Research Center of Biotechnology RAS; Russian Academy of Sciences</t>
  </si>
  <si>
    <t>Abyzov, SS (corresponding author), Russian Acad Sci, Inst Microbiol, Moscow 117811, Russia.</t>
  </si>
  <si>
    <t>Lipenkov, Vladimir/Q-8262-2016</t>
  </si>
  <si>
    <t>Lipenkov, Vladimir/0000-0003-4221-5440</t>
  </si>
  <si>
    <t>0-8194-2896-5</t>
  </si>
  <si>
    <t>10.1117/12.319824</t>
  </si>
  <si>
    <t>Biology; Geosciences, Multidisciplinary; Instruments &amp; Instrumentation; Remote Sensing</t>
  </si>
  <si>
    <t>Life Sciences &amp; Biomedicine - Other Topics; Geology; Instruments &amp; Instrumentation; Remote Sensing</t>
  </si>
  <si>
    <t>BM19W</t>
  </si>
  <si>
    <t>WOS:000078010100008</t>
  </si>
  <si>
    <t>Papalia, B; Andreucci, F; Prendin, W; Veruggio, G</t>
  </si>
  <si>
    <t>Salichs, MA; Halme, A</t>
  </si>
  <si>
    <t>The AUV SARA for Antarctic surveys: State of the project and main subsystems.</t>
  </si>
  <si>
    <t>INTELLIGENT AUTONOMOUS VECHICLES 1998 (IAV'98)</t>
  </si>
  <si>
    <t>3rd IFAC Symposium on Intelligent Autonomous Vehicles 1998 (IAV 98)</t>
  </si>
  <si>
    <t>MAR 25-27, 1998</t>
  </si>
  <si>
    <t>MADRID, SPAIN</t>
  </si>
  <si>
    <t>autonomous vehicles; robot navigation; positioning systems; data fusion; obstacle avoidance</t>
  </si>
  <si>
    <t>In the framework of Italian National Program for Research in Antarctica, a project aimed at developing an Autonomous Underwater Vehicle was launched. The final goal would be the accomplishment of oceanographic surveys and measurements in wintertime. This condition is strongly required by the oceanography and biology people, because of to day lack of intervention lasting at least 8 months. The AW SARA is now in the building phase, whereas the key subsystems are separately in developing and testing phase. In this paper the present status of the positioning and the obstacle avoidance systems is focused. Copyright (C) 1998 IFAC.</t>
  </si>
  <si>
    <t>ENEA, I-00060 Rome, Italy</t>
  </si>
  <si>
    <t>Papalia, B (corresponding author), ENEA, Via Anguillarese 301, I-00060 Rome, Italy.</t>
  </si>
  <si>
    <t>Veruggio, Gianmarco/B-9405-2013</t>
  </si>
  <si>
    <t>0-08-042929-7</t>
  </si>
  <si>
    <t>Automation &amp; Control Systems; Computer Science, Interdisciplinary Applications; Instruments &amp; Instrumentation; Transportation</t>
  </si>
  <si>
    <t>Automation &amp; Control Systems; Computer Science; Instruments &amp; Instrumentation; Transportation</t>
  </si>
  <si>
    <t>BM77L</t>
  </si>
  <si>
    <t>WOS:000079728100097</t>
  </si>
  <si>
    <t>Pongratz, R; Heumann, KG</t>
  </si>
  <si>
    <t>Determination of concentration profiles of methyl mercury compounds in surface waters of polar and other remote oceans by GC-AFD</t>
  </si>
  <si>
    <t>INTERNATIONAL JOURNAL OF ENVIRONMENTAL ANALYTICAL CHEMISTRY</t>
  </si>
  <si>
    <t>monomethyl mercury; dimethyl mercury; concentration profiles in surface ocean water; Antarctic and Arctic Ocean; Atlantic; GC separation; atomic fluorescence detection</t>
  </si>
  <si>
    <t>PACIFIC-OCEAN; EQUATORIAL PACIFIC; ALKYLMERCURY; METALS</t>
  </si>
  <si>
    <t>The concentration of monomethyl mercury (MeHg+) and dimethyl mercury (Me2Hg) was determined in surface sea-water samples of the Antarctic and Arctic Ocean as well as of other remote areas (South Atlantic and South Pacific) during expeditions of the German research vessel Polarstern A purge and trap/gas chromatographic system, equipped with an atomic fluorescence detector (AFD), was used. For the analysis of MeHg+ conversion into the volatile methylethyl mercury by reaction with tetraethyloborate prior to the purging process was carried out. The detection limit for both methylated mercury compounds was 5 pg Hg/L, which allowed their determination in most ocean water samples even in those of the Antarctic and Arctic Ocean. A north-south concentration profile in the Atlantic Ocean, covering a distance from 51 degrees N to 58 degrees S, was also examined, which resulted in the most extended set of data in the environment for these important heavy metal species. In anthropogenically influenced areas of the North Atlantic from 51 degrees N to about 40 degrees N concentrations of methylated mercury in the range of 100-3000 pg/L were found. The contents of these species were significantly lower in remote areas, represented by a range of &lt;5 pg/L to 150 pg/L. Concentrations of the methylated mercury species were compared with those of substances often used as biomass indicators, e.g. chlorophyll-a and adenosine triphosphate. A positive correlation was found, in general, in remote areas between the contents of methylated mercury and these parameters for bioactivity, demonstrating the biogenic origin of MeHg+ and Me2Hg, respectively. The concentration of MeHg+ normally exceeded that of Me2Hg, except at locations with especially high bioactivities. This result indicates that Me2Hg may be the main primary biogenic product. Oceanographic conditions are very well reflected by concentration profiles of methylated mercury. For example, in biologically very active upwelling regions peak concentrations of Me2Hg and MeHg+ were found, whereas in parts of the Antarctic Ocean, totally covered by ice, the concentration of methylated mercury was determined to be below the detection limit.</t>
  </si>
  <si>
    <t>Univ Mainz, Inst Inorgan Chem &amp; Analyt Chem, D-55099 Mainz, Germany</t>
  </si>
  <si>
    <t>Johannes Gutenberg University of Mainz</t>
  </si>
  <si>
    <t>Heumann, KG (corresponding author), Univ Mainz, Inst Inorgan Chem &amp; Analyt Chem, D-55099 Mainz, Germany.</t>
  </si>
  <si>
    <t>heumann@mail.uni-mainz.de</t>
  </si>
  <si>
    <t>0306-7319</t>
  </si>
  <si>
    <t>INT J ENVIRON AN CH</t>
  </si>
  <si>
    <t>Int. J. Environ. Anal. Chem.</t>
  </si>
  <si>
    <t>10.1080/03067319808032616</t>
  </si>
  <si>
    <t>Chemistry, Analytical; Environmental Sciences</t>
  </si>
  <si>
    <t>Chemistry; Environmental Sciences &amp; Ecology</t>
  </si>
  <si>
    <t>165VW</t>
  </si>
  <si>
    <t>WOS:000078543400003</t>
  </si>
  <si>
    <t>Capodaglio, G; Turetta, C; Toscano, G; Gambaro, A; Scarponi, G; Cescon, P</t>
  </si>
  <si>
    <t>Cadmium, lead and copper complexation in antarctic coastal seawater. Evolution during the austral summer</t>
  </si>
  <si>
    <t>heavy metals; complexation; sea water; DPASV; Terra Nova Bay; Antarctica</t>
  </si>
  <si>
    <t>NATURAL ORGANIC-LIGANDS; CONDITIONAL STABILITY-CONSTANTS; ANODIC-STRIPPING VOLTAMMETRY; TRACE-METAL SPECIATION; CENTRAL NORTH PACIFIC; NOVA BAY ANTARCTICA; ROSS SEA ANTARCTICA; SURFACE WATERS; TEMPORAL VARIABILITY; COMPLEXING CAPACITY</t>
  </si>
  <si>
    <t>The evolution of cadmium, lead and copper complexation by organic ligands was studied along the water column during the 1990/91 summer in the Gerlache Inlet (Antarctica). The complexation was estimated by determination of the total dissolved concentration of metals, the labile concentration, the ligand concentrations and the relative conditional stability constants. The mean value of the total dissolved cadmium concentration was 0.83 nM until mid-December; the concentration was gradually depleted initially in the subsurface layer then down to the bottom. The mean concentration along the water column in February was 0.15 nM. The labile fraction represented 90% of the total until December, and it was reduced to about 20% in the upper 50 m by February. The cadmium was complexed by one class of ligands detectable after mid-December. Initially it was present only in the surface layers and later was extended to the bottom. The ligand concentration reached a maximum (2.2 nM) during the phytoplankton bloom in December. The mean total dissolved concentration for lead ranged from 0.083 nM until December to 0, 030 nM in the upper 100m at the end of the summer. The labile fraction did not change during the season and meanly represented 39% of the total dissolved concentration. The lead was complexed by one class of ligands, its mean concentration ranges between 0.60 nM at the beginning of the summer to 1.2 nM at the end of the season. The total dissolved copper concentration ranged between 1.6 to 3.8 nM. The labile fraction was strongly dependent on depth and time, ranging from values lower than 1% in surface water to a maximum value of 40% in deep water. The copper was complexed by two classes of ligand, the first present only in surface layers and the second homogeneously distributed along the water column. The results for the three metals are compared to those obtained for surface samples collected in the whole of Terra Nova Bay between summer 1987/88 and summer 1989/90.</t>
  </si>
  <si>
    <t>CNR, Ctr Studio Chim &amp; Tecnol Ambiente, I-30123 Venice, Italy; Univ Ca Foscari Venezia, Dipartimento Sci Ambientali, I-30123 Venice, Italy; Univ Ancona, Fac Sci MM FF NN, I-60100 Ancona, Italy</t>
  </si>
  <si>
    <t>Consiglio Nazionale delle Ricerche (CNR); Universita Ca Foscari Venezia; Marche Polytechnic University</t>
  </si>
  <si>
    <t>Capodaglio, G (corresponding author), CNR, Ctr Studio Chim &amp; Tecnol Ambiente, Dorsoduro 2137, I-30123 Venice, Italy.</t>
  </si>
  <si>
    <t>Capodaglio, Gabriele/D-5295-2014; Scarponi, Giuseppe/AAQ-6394-2021; Turetta, Clara/O-2849-2015</t>
  </si>
  <si>
    <t>Capodaglio, Gabriele/0000-0002-3689-4865; Scarponi, Giuseppe/0000-0003-2932-0596; Turetta, Clara/0000-0003-3130-2901; Cescon, Paolo/0000-0003-1836-6759</t>
  </si>
  <si>
    <t>10.1080/03067319808032628</t>
  </si>
  <si>
    <t>204EG</t>
  </si>
  <si>
    <t>WOS:000080750100001</t>
  </si>
  <si>
    <t>Cini, R; Udisti, R; Piccardi, G; Loglio, G; Innocenti, ND; Stortini, AM; Pampaloni, B; Tesei, U</t>
  </si>
  <si>
    <t>A simple model for K and Ca enrichment interpretation in Antarctic snow</t>
  </si>
  <si>
    <t>marine aerosol; aerosol transport; Antarctic snow main components; adsorption model; air-sea interaction; Antarctic atmosphere</t>
  </si>
  <si>
    <t>MARINE ORGANIC-MATTER; AIR-SEA EXCHANGE; AIR/SEA INTERFACE; TRANSPORT; AEROSOL; SALT; NUCLEI; WATER</t>
  </si>
  <si>
    <t>The presence of surface active fluorescent organic matter (SAFOM) in Antarctic snow, similar to the marine matter, suggests that micro components present at the sea surface, capable of interacting with SAFOM, may be transported via marine aerosol. Experimental evidence is given by the enrichment of SAFOM in the smallest marine aerosol particles and by the interaction of K and Ca with SAFOM. The surfactant concentration at the sea surface during large whitecaps coverage is also studied. A hypothesis for the K and Ca excess, evidenced in Antarctic snow at high altitudes, is proposed by means of a spray drop adsorption layer model (SDALM). This model is the result of an improved analysis of the breaking wave process, and of additional experimental findings. It seems to justify the excess concentration of K and Ca with respect to that expected for marine water compositions in high altitude snow in Antarctica. It may also constitute a more general basis for the interpretation of the fine fraction aerosol composition in remote marine areas.</t>
  </si>
  <si>
    <t>Univ Florence, Lab Tech Phys Chem, Dept Organ Chem, I-50121 Florence, Italy; Univ Florence, Dept Publ Hlth &amp; Environm Analyt Chem, Analyt Chem Sect, I-50121 Florence, Italy</t>
  </si>
  <si>
    <t>University of Florence; University of Florence</t>
  </si>
  <si>
    <t>Cini, R (corresponding author), Univ Florence, Lab Tech Phys Chem, Dept Organ Chem, Via Gino Capponi 9, I-50121 Florence, Italy.</t>
  </si>
  <si>
    <t>Udisti, Roberto/M-7966-2015; Loglio, Giuseppe/L-8335-2014</t>
  </si>
  <si>
    <t>Udisti, Roberto/0000-0003-4440-8238; Loglio, Giuseppe/0000-0002-5392-670X; Degli Innocenti, Nicoletta/0000-0001-7953-9882; Becagli, Silvia/0000-0003-3633-4849</t>
  </si>
  <si>
    <t>10.1080/03067319808032632</t>
  </si>
  <si>
    <t>WOS:000080750100005</t>
  </si>
  <si>
    <t>Casella, F; Udisti, R; Piccardi, G</t>
  </si>
  <si>
    <t>Identification of component sources in Antarctic snow by factor analysis</t>
  </si>
  <si>
    <t>snow composition; Antarctica; factor analysis; marine contribution</t>
  </si>
  <si>
    <t>BOSTON URBAN AEROSOL; POLLUTION; ELEMENTS</t>
  </si>
  <si>
    <t>The concentration values of twelve components determined in snow samples collected in two snow-pits around Terra Nova Bay, Antarctica, are Factor Analysed. The factors are interpreted as different sources affecting the area. The marine aerosol factor dominates the data set structure, but two other factors can be clearly identified for both stations, one reflecting seasonal and the other linked to biogenic sulfur cycle. Distinct features characterising the two stations emerge from the factor analysis applied to a reduced data set, in which a limited number of samples with a very high sea-salt loading are excluded.</t>
  </si>
  <si>
    <t>Piccardi, G (corresponding author), Univ Florence, Dept Publ Hlth &amp; Environm Analyt Chem, Via G Capponi 9, I-50121 Florence, Italy.</t>
  </si>
  <si>
    <t>Udisti, Roberto/M-7966-2015</t>
  </si>
  <si>
    <t>Udisti, Roberto/0000-0003-4440-8238; Becagli, Silvia/0000-0003-3633-4849</t>
  </si>
  <si>
    <t>10.1080/03067319808032634</t>
  </si>
  <si>
    <t>WOS:000080750100007</t>
  </si>
  <si>
    <t>Nonnis Marzano, F; Triulzi, C; Casoli, A; Mori, A; Vaghi, M</t>
  </si>
  <si>
    <t>Marine and lacustrine radioecological researches in Antarctica. 1992-1994</t>
  </si>
  <si>
    <t>Antarctica; artificial radionuclides; natural radionuclides; radioecology; bioindicators; Ross Sea</t>
  </si>
  <si>
    <t>ITALIAN BASE</t>
  </si>
  <si>
    <t>Researches on environmental radioactivity in the Ross Sea - Terra Nova Bay area have been carried out with the aim of evaluating the role of different abiotic and biotic matrices in the cycling of radionuclides in the marine and lacustrine ecosystems. The transfer of Sr-90, Cs-137, Pu-238 and Pu-239(240) from the water to the benthic organisms and the sediment layer has been investigated. Contamination levels in both ecosystems and biogeochemical cycles of the main fission and transuranic products are therefore presented and discussed. A comparison of radioecological data from different areas of the Antarctic Ocean and the Mediterranean Sea is given. In the framework of the data obtained, concentrations of the natural radionuclides K-40, Th-232 and U-238 in the sediment samples, are also presented.</t>
  </si>
  <si>
    <t>Univ Parma, Dipartimento Biol Evolut &amp; Funz, I-43100 Parma, Italy; Univ Parma, Dipartimento Chim Gen &amp; Inorgan Chim Analit Chim, I-43100 Parma, Italy</t>
  </si>
  <si>
    <t>University of Parma; University of Parma</t>
  </si>
  <si>
    <t>Univ Parma, Dipartimento Biol Evolut &amp; Funz, Viale Sci, I-43100 Parma, Italy.</t>
  </si>
  <si>
    <t>Triulzi@biol.unipr.it</t>
  </si>
  <si>
    <t>Mori, Alessandra/F-4382-2012; MArzano, Francesco Nonnis/L-1025-2016; casoli, antonella/H-6953-2016</t>
  </si>
  <si>
    <t>Mori, Alessandra/0000-0001-6544-3038; MArzano, Francesco Nonnis/0000-0001-5764-3515; casoli, antonella/0000-0002-9212-9463</t>
  </si>
  <si>
    <t>1029-0397</t>
  </si>
  <si>
    <t>WOS:000080750100008</t>
  </si>
  <si>
    <t>Desideri, PG; Lepri, L; Udisti, R; Checchini, L; Del Bubba, M; Cini, R; Stortini, AM</t>
  </si>
  <si>
    <t>Analysis of organic compounds in Antarctic snow and their origin</t>
  </si>
  <si>
    <t>Antarctica; snow; pack; chromatographic analysis; marine aerosol</t>
  </si>
  <si>
    <t>NOVA BAY ANTARCTICA; SEA-WATER; TRANSPORT; SURFACE; MATTER; SALT</t>
  </si>
  <si>
    <t>Organic compounds extractable with n-hexane were identified and quantitatively determined in pack, surface and deep snow samples taken at different depths and collected at several altitudes above sea level from Antarctica during the 1993/94 Italian expedition. The comparison between the composition of organic compounds in snow and the ones in pack and sea-water samples pointed out that the three matrices substantially contain the same biogenic and anthropogenic organic compounds. The contribution of marine aerosol to organic content in the snow is confirmed by the enrichment ratios calculated for the more representative classes of identified compounds (n-alkanes, phthalates and low molecular weight alkylbenzenes). The changes in the composition of organic compounds in snow as the altitude increases seem to depend on the dimensional spectrum of the aerosol. Thus, smallest particles, richest in surfactant material, reach the highest altitudes.</t>
  </si>
  <si>
    <t>Univ Florence, Dept Publ Hlth Epidemiol &amp; Environm Analyt Chem, I-50121 Florence, Italy; Univ Florence, Dept Organ Chem, Lab Tech Phys Chem, I-50121 Florence, Italy</t>
  </si>
  <si>
    <t>Desideri, PG (corresponding author), Univ Florence, Dept Publ Hlth Epidemiol &amp; Environm Analyt Chem, Via G Capponi 9, I-50121 Florence, Italy.</t>
  </si>
  <si>
    <t>10.1080/03067319808032637</t>
  </si>
  <si>
    <t>WOS:000080750100010</t>
  </si>
  <si>
    <t>Hillamo, R; Allegrini, I; Sparapani, R; Kerminen, VM</t>
  </si>
  <si>
    <t>Mass size distributions and precursor gas concentrations of major inorganic ions in Antarctic aerosol</t>
  </si>
  <si>
    <t>Antarctica; Polar atmosphere; inorganic ions; impactors; denuders</t>
  </si>
  <si>
    <t>SEA-SALT; PARTICLES; SULFUR; IMPACTOR; ATMOSPHERE; EMISSIONS; ATLANTIC; NITRATE; MODE</t>
  </si>
  <si>
    <t>Mass size distributions of major inorganic ions in aerosol particles and their atmospheric precursor gases were studied at Terra Nova Bay in Antarctica (74 degrees 41 '42  S, 164 degrees 05 '36  E) between January 30 and February 18, 1995. The mass size distributions of sulphate, the major inorganic ion, had two submicron and two supermicron modes. The accumulation mode (average mass median diameter 0.285+/-0.016 mu m) had a very stable concentration over the whole sampling period (238.8+/-39.7 ng/m(3)). The smaller submicron mode (Aitken mode) had an averaged mass median diameter at 0.069 mu m (standard deviation 0.011 mu m). The existence of an Aitken mode is an indirect indication of new particle formation in the Antarctic summer atmosphere. The coarse-particle sulphate is due to the emissions of sea salt particles and their subsequent absorption of and reactions with atmospheric SO2. Ammonium was found primarily in the accumulation mode, where it probably was associated with very acidic ammonium sulphate/hydrated sulphuric acid particles. Other detected ions were sodium, magnesium, chloride and nitrate, all of them found mainly in coarse-particle size range and related to sea-salt particles and their subsequent heterogenous reactions with gaseous compounds. Concentration ranges of HNO2, HNO3, SO2 and NH3 where 18.9-23.9, 20.9-39.1, 38.1-60. 1 and 31.2-52.7 ng/m(3). respectively.</t>
  </si>
  <si>
    <t>CNR, Inst Atmospher Pollut, I-00016 Monterotondo, Roma, Italy; Finnish Meteorol Inst, FIN-00810 Helsinki, Finland</t>
  </si>
  <si>
    <t>Consiglio Nazionale delle Ricerche (CNR); Istituto Sull'inquinamento Atmosferico (IIA-CNR); Finnish Meteorological Institute</t>
  </si>
  <si>
    <t>Allegrini, I (corresponding author), CNR, Inst Atmospher Pollut, Via Salaria 29,3 Km, I-00016 Monterotondo, Roma, Italy.</t>
  </si>
  <si>
    <t>allegrini, ivo/HJI-6081-2023; Kerminen, Veli-Matti/M-9026-2014</t>
  </si>
  <si>
    <t>10.1080/03067319808032638</t>
  </si>
  <si>
    <t>WOS:000080750100011</t>
  </si>
  <si>
    <t>Gosink, JJ; Woese, CR; Staley, JT</t>
  </si>
  <si>
    <t>Polaribacter gen. nov., with three new species, P-irgensii sp. nov., P-franzmannii sp. nov., and P-filamentus sp. nov., gas vacuolate polar marine bacteria of the Cytophaga-Flavobacterium-Bacteroides group and reclassification of 'Flectobacillus glomeratus' as Polaribacter glomeratus comb. nov.</t>
  </si>
  <si>
    <t>INTERNATIONAL JOURNAL OF SYSTEMATIC BACTERIOLOGY</t>
  </si>
  <si>
    <t>Polaribacter gen. nov.; Polaribacter irgensii sp. nov.; Polaribacter franzmannii sp. nov.; Polaribacter filamentus sp. nov.; Polaribacter glomeratus comb. nov.</t>
  </si>
  <si>
    <t>RIBOSOMAL DATABASE PROJECT; MAXIMUM-LIKELIHOOD; SEA-ICE; PHYLOGENETIC ANALYSIS; DNA-SEQUENCES; ANTARCTICA; WATERS; TREES; ORDER; TOOL</t>
  </si>
  <si>
    <t>Several psychrophilic, gas vacuolate strains of the Cytophage-Flavobacterium-Bacteroides (CFB) phylogenetic group were isolated from sea ice and water from the Arctic and the Antarctic, The closest taxonomically defined species by 16S rRNA sequence analysis is 'Flectobacillus glomeratus', However, 'Flc, glomeratus' is phylogenetically distant from the Flectobacillus type species, Flc, major, On the basis of phenotypic, genotypic and 16S rRNA sequence analyses we propose a new genus, Polaribacter, with three new species, Polaribacter irgensii strain 23-P (ATCC 700398), Polaribacter franzmannii strain 301 (ATCC 700399) and Polaribacter filamentus strain 215 (ATCC 700397), P. filamentus is the type species of the genus, None of these species exhibits a cosmopolitan or bipolar distribution. This is the first taxonomic description of gas vacuolate bacteria in the CFB group, Additionally, we propose that 'Flc. glomeratus' be reclassified to the genus Polaribacter as P. glomeratus, comb, nov.</t>
  </si>
  <si>
    <t>Univ Washington, Dept Microbiol, Seattle, WA 98195 USA; Univ Illinois, Dept Microbiol, Urbana, IL 61801 USA</t>
  </si>
  <si>
    <t>University of Washington; University of Washington Seattle; University of Illinois System; University of Illinois Urbana-Champaign</t>
  </si>
  <si>
    <t>Staley, JT (corresponding author), Univ Washington, Dept Microbiol, Box 357242, Seattle, WA 98195 USA.</t>
  </si>
  <si>
    <t>jtstaley@u.washington.edu</t>
  </si>
  <si>
    <t>NIGMS NIH HHS [GM07270-19] Funding Source: Medline</t>
  </si>
  <si>
    <t>NIGMS NIH HHS(United States Department of Health &amp; Human ServicesNational Institutes of Health (NIH) - USANIH National Institute of General Medical Sciences (NIGMS))</t>
  </si>
  <si>
    <t>SOC GENERAL MICROBIOLOGY</t>
  </si>
  <si>
    <t>MARLBOROUGH HOUSE, BASINGSTOKE RD, SPENCERS WOODS, READING, BERKS, ENGLAND RG7 1AE</t>
  </si>
  <si>
    <t>0020-7713</t>
  </si>
  <si>
    <t>INT J SYST BACTERIOL</t>
  </si>
  <si>
    <t>Int. J. Syst. Bacteriol.</t>
  </si>
  <si>
    <t>10.1099/00207713-48-1-223</t>
  </si>
  <si>
    <t>ZD676</t>
  </si>
  <si>
    <t>WOS:000072711200024</t>
  </si>
  <si>
    <t>Barnes, DKA; Clarke, A</t>
  </si>
  <si>
    <t>The ecology of an assemblage dominant:: the encrusting bryozoan Fenestrulina rugula</t>
  </si>
  <si>
    <t>INVERTEBRATE BIOLOGY</t>
  </si>
  <si>
    <t>population dynamics; growth; competition; reproduction; mortality</t>
  </si>
  <si>
    <t>SUBLITTORAL EPIFAUNAL COMMUNITIES; ICE-FOOT ZONE; BENTHIC COMMUNITY; SIGNY ISLAND; OVERGROWTH COMPETITION; ARTIFICIAL SUBSTRATA; CHEILOSTOME BRYOZOA; ELECTRA-PILOSA; ANTARCTICA; GROWTH</t>
  </si>
  <si>
    <t>The cheilostome bryozoan Fenestrulina rugula is a major component of the encrusting fauna of physically disturbed shallow water habitats in Antarctica. On rocks collected from Rothera Point, Adelaide Island, F. rugula was the dominant occupier of space (88% of all bryozoans, 76% of all fauna), though spirorbid polychaetes showed more colonisation events per unit area. Growth rate was relatively rapid in comparison with other polar bryozoans, but slower than temperate or tropical species. In fully reproductive colonies almost 80% of zooids carried ovicells. Colonies whose growth brought them into contact with other encrusting fauna (usually another colony of F. rugula) produced smaller zooids and initiated ovicell production earlier than unrestrained colonies. Analysis of overgrowth interactions showed that F. rugula was a relatively poor competitor compared with other encrusting bryozoans, and most within-species interactions were indeterminate. Population mortality was relatively high, averaging 89% per annum, although not as high as in some other species from ephemeral habitats. F. rugula is thus a typical early coloniser in being relatively fast-growing, quick to mature, short-lived and a relatively poor competitor. The population dynamics and ecology of this assemblage dominant appear to have been influenced primarily by the ephemeral nature of its habitat.</t>
  </si>
  <si>
    <t>British Antarctic Survey, Cambridge CB3 0ET, England; Natl Univ Ireland Univ Coll Cork, Dept Zool &amp; Anim Ecol, Cork, Ireland</t>
  </si>
  <si>
    <t>UK Research &amp; Innovation (UKRI); Natural Environment Research Council (NERC); NERC British Antarctic Survey; University College Cork</t>
  </si>
  <si>
    <t>Barnes, DKA (corresponding author), British Antarctic Survey, High Cross,Madingley Rd, Cambridge CB3 0ET, England.</t>
  </si>
  <si>
    <t>dkab@ucc.ie</t>
  </si>
  <si>
    <t>AMER MICROSCOPICAL SOC</t>
  </si>
  <si>
    <t>810 EAST 10TH ST, LAWRENCE, KS 66044-8897 USA</t>
  </si>
  <si>
    <t>1077-8306</t>
  </si>
  <si>
    <t>INVERTEBR BIOL</t>
  </si>
  <si>
    <t>Invertebr. Biol.</t>
  </si>
  <si>
    <t>10.2307/3227035</t>
  </si>
  <si>
    <t>146UY</t>
  </si>
  <si>
    <t>WOS:000077451200008</t>
  </si>
  <si>
    <t>Polyakov, IV; Kulakov, IY; Kolesov, SA; Dmitriev, NE; Pritchard, RS; Driver, D; Naumov, AK</t>
  </si>
  <si>
    <t>Thermodynamic ice-ocean model: Description and experiments</t>
  </si>
  <si>
    <t>IZVESTIYA AKADEMII NAUK FIZIKA ATMOSFERY I OKEANA</t>
  </si>
  <si>
    <t>SEA-ICE; THICKNESS DISTRIBUTION; CIRCULATION; EXCHANGE</t>
  </si>
  <si>
    <t>A coupled ice-ocean model was developed. An ice model was based on elastoplastic theology. Ice mass and closeness were introduced by distribution functions. The thermodynamic model was applied to each individual class of ice. A parametrization of the advection of partial masses and ice closeness was based on a fourth-order accurate algorithm with solution monotonicity preserved. An ocean model was represented by a three-dimensional time-dependent baroclinic model with a free surface. The coupled model was used for simulation of buoy drifts in the central Arctic and for calculation of long-period and seasonal variability of ice and snow thickness, temperature, and salinity in some parts of the Arctic Ocean. A comparison between calculated and observed buoy drifts showed a good agreement. An analysis of ice edge dynamics showed that the model keeps a well-defined edge between free water and close-packed ice. The terms of the heat-balance equation for the ice and snow surfaces were estimated. The obtained growth rates of thin and thick ices and heat and salt fluxes under these ices were found to be essentially different. The model reproduced the seasonal cycle of temperature and salinity in the upper layer of the ocean, as well as the heat flux from the ocean to the bottom surface of the ice. The annual mean flux was about 1.2-1.3 W/m(2).</t>
  </si>
  <si>
    <t>Arctic &amp; Antarctic Res Inst, St Petersburg 199226, Russia; Amoco Prod Co, Chicago, IL USA; State Hydrometeorol Inst, Moscow, Russia</t>
  </si>
  <si>
    <t>Arctic &amp; Antarctic Research Institute; BP</t>
  </si>
  <si>
    <t>Arctic &amp; Antarctic Res Inst, Ul Beringa 38, St Petersburg 199226, Russia.</t>
  </si>
  <si>
    <t>Naumov, Alexander Kondratevich/A-1581-2014</t>
  </si>
  <si>
    <t>39 DIMITROVA UL., MOSCOW, 113095, RUSSIA</t>
  </si>
  <si>
    <t>0002-3515</t>
  </si>
  <si>
    <t>IZV AN FIZ ATMOS OK+</t>
  </si>
  <si>
    <t>Izv. Akad. Nauk. Fiz. Atmos. Okean. Biol.</t>
  </si>
  <si>
    <t>Meteorology &amp; Atmospheric Sciences; Oceanography</t>
  </si>
  <si>
    <t>ZB848</t>
  </si>
  <si>
    <t>WOS:000072514100007</t>
  </si>
  <si>
    <t>Smith, AJ; Jenkins, PJ</t>
  </si>
  <si>
    <t>A survey of natural electromagnetic noise in the frequency range f = 1-10 kHz at Halley station, Antarctica: 1. Radio atmospherics from lightning</t>
  </si>
  <si>
    <t>WHISTLER-MODE SIGNALS; MAGNETOSPHERIC CHORUS; VLF</t>
  </si>
  <si>
    <t>This paper presents results from the first systematic survey of VLF wave activity at Halley, Antarctica (76 degrees S, 27 degrees W, L = 4.3). Beginning in 1971, the peak, average and minimum (P, A, M) signal levels observed in four frequency bands centred on 0.75 kHz, 1.25 kHz, 3.2 kHz and 9.6 kHz have been recorded every 5 min. At these frequencies the observed radio noise is largely natural, the waves being generated either in the magnetosphere (e.g. chorus, hiss, etc.) or near the ground, the latter principally from lightning discharges (radio atmospherics, or spherics) which reach receiver after propagating some distance in the Earth-ionosphere waveguide (lightning does not occur in the immediate vicinity of Halley). Here we analyse the observations for 1984, the first complete year for which we have data in digital form, in terms of thunderstorm regions, as a benchmark for more extended studies of possible long-term change in global lightning activity. The data are presented in compressed colour graphic format which facilitates the identification of periodic (diurnal and annual) and aperiodic variations. At 3.2 kHz, attenuation in the Earth-ionosphere waveguide is severe, and only relatively few spherics, from close lighting source regions, are observed. Thus, whilst the 3.2 M channel is insensitive to lightning, and responds mostly to magnetospheric emissions, the 3.2 P channel is dominated by spherics. The 3.2 P data show a marked diurnal and seasonal variation symmetrical about Halley local noon and about the solstices, consistent with nearby sources and attenuation rates for subionospheric propagation which are much greater during the day than at night. At 9.6 kHz, waveguide attenuation is much lower (and there is less difference between day and night), and the minimum channel is dominated by a continuum of spheric noise originating from globally distributed distant source regions, notably those in the tropics. Consequently, there is no control by the local dawn-dusk terminator, the diurnal and seasonal variation is not symmetrical about Halley local noon and the solstices but consists of a quasi-sinusoidal diurnal variation, in which the phases of the minimum and maximum vary during the year: similar to 07 LT (LT similar or equal to UT-2 h at Halley) and similar to 17 LT in December (summer) and similar to 10 LT and similar to 21 LT in June (winter). Agreement between the observations and the CCIR (1983) empirical model is poor. A somewhat better fit is given by a simple model in which thunderstorm regions consist of point sources having radiated powers which vary with local rime and season, the total effect at Halley being modelled as the sum of contributions from these sources. (C) 1998 Elsevier Science Ltd. All rights reserved.</t>
  </si>
  <si>
    <t>British Antarctic Survey, Cambridge CB3 0ET, England; Univ Sheffield, Dept Phys, Sheffield S3 7RH, S Yorkshire, England</t>
  </si>
  <si>
    <t>UK Research &amp; Innovation (UKRI); Natural Environment Research Council (NERC); NERC British Antarctic Survey; University of Sheffield</t>
  </si>
  <si>
    <t>Smith, AJ (corresponding author), British Antarctic Survey, Madingley Rd, Cambridge CB3 0ET, England.</t>
  </si>
  <si>
    <t>A.J.Smith@bas.ac.uk</t>
  </si>
  <si>
    <t>10.1016/S1364-6826(97)00057-6</t>
  </si>
  <si>
    <t>ZF390</t>
  </si>
  <si>
    <t>WOS:000072892700009</t>
  </si>
  <si>
    <t>Van Roozendael, M; Peeters, P; Roscoe, HK; De Backer, H; Jones, AE; Bartlett, L; Vaughan, G; Goutail, F; Pommereau, JP; Kyro, E; Wahlstrom, C; Braathen, G; Simon, PC</t>
  </si>
  <si>
    <t>Validation of ground-based visible measurements of total ozone by comparison with Dobson and Brewer spectrophotometers</t>
  </si>
  <si>
    <t>JOURNAL OF ATMOSPHERIC CHEMISTRY</t>
  </si>
  <si>
    <t>stratosphere; ozone; validation</t>
  </si>
  <si>
    <t>AIR-MASS FACTORS; RADIATIVE-TRANSFER MODELS; ZENITH-SKY SPECTROMETERS; SPECTROSCOPY; SODANKYLA</t>
  </si>
  <si>
    <t>Comparisons of total column ozone measurements from Dobson, Brewer and SAOZ instruments are presented for the period 1990 to 1995 at seven stations covering the mid-and the high northern latitudes, as well as the Antarctic region. The main purpose of these comparisons is to assess, by reference to the well established Dobson network, the accuracy of the zenith-sky visible spectroscopy for the measurement of total ozone. The strengths and present limitations of this latter technique are investigated. As a general result, the different instruments are found to agree within a few percent at all stations, the best agreement being obtained at mid-latitudes. On average, for the mid-latitudes, SAOZ O-3 measurements are approximately 2% higher than Dobson ones, with a scatter of about 5%. At higher latitudes, both scatter and systematic deviation tend to increase. In all cases, the relative differences between SAOZ and Dobson or Brewer column ozone are characterised by a significant seasonal signal, the amplitude of which increases from about 2.5% at mid-latitude to a maximum of 7.5% at Faraday, Antarctica. Although it introduces a significant contribution to the seasonality at high latitude, the temperature sensitivity of the O-3 absorption coefficients of the Dobson and Brewer instruments is shown to be too small to account for the observed SAOZ/Dobson differences. Except for Faraday, these differences can however be largely reduced if SAOZ AMFs are calculated with realistic climatological profiles of ozone, pressure and temperature. Other sources of uncertainties that might affect the comparison are investigated. Evidence is found that the differences in the air masses sampled by the SAOZ and the other instruments contribute significantly to the scatter, and the impact of the tropospheric clouds on SAOZ measurements is displayed.</t>
  </si>
  <si>
    <t>Inst Aeron Spatiale Belgique, B-1180 Brussels, Belgium; Koninklijk Meteorol Inst, B-1180 Brussels, Belgium; British Antarctic Survey, Cambridge CB3 0ET, England; Univ Wales, Dept Phys, Aberystwyth, Dyfed, Wales; CNRS, Serv Aeron, F-91371 Verrieres Le Buisson, France; Finnish Meteorol Inst, Sodankyla Observ, SF-99600 Sodankyla, Finland; NILU, N-2007 Kjeller, Norway</t>
  </si>
  <si>
    <t>UK Research &amp; Innovation (UKRI); Natural Environment Research Council (NERC); NERC British Antarctic Survey; Aberystwyth University; Centre National de la Recherche Scientifique (CNRS); Finnish Meteorological Institute; NILU</t>
  </si>
  <si>
    <t>Inst Aeron Spatiale Belgique, 3 Av Circulaire, B-1180 Brussels, Belgium.</t>
  </si>
  <si>
    <t>Vaughan, Geraint/O-2459-2015</t>
  </si>
  <si>
    <t>Vaughan, Geraint/0000-0002-0885-0398</t>
  </si>
  <si>
    <t>0167-7764</t>
  </si>
  <si>
    <t>1573-0662</t>
  </si>
  <si>
    <t>J ATMOS CHEM</t>
  </si>
  <si>
    <t>J. Atmos. Chem.</t>
  </si>
  <si>
    <t>10.1023/A:1005815902581</t>
  </si>
  <si>
    <t>Environmental Sciences; Meteorology &amp; Atmospheric Sciences</t>
  </si>
  <si>
    <t>Environmental Sciences &amp; Ecology; Meteorology &amp; Atmospheric Sciences</t>
  </si>
  <si>
    <t>ZA236</t>
  </si>
  <si>
    <t>WOS:000072343000004</t>
  </si>
  <si>
    <t>McInnes, SJ; Pugh, PJA</t>
  </si>
  <si>
    <t>Biogeography of limno-terrestrial Tardigrada, with particular reference to the Antarctic fauna</t>
  </si>
  <si>
    <t>JOURNAL OF BIOGEOGRAPHY</t>
  </si>
  <si>
    <t>Antarctica; biogeography; Tardigrada</t>
  </si>
  <si>
    <t>ISLANDS; ACARI</t>
  </si>
  <si>
    <t>The Tardigrada is a cosmopolitan phylum of pre-Pangaean origin, yet tardigrade families and genera show distinct biogeographic components isolated by two major geological events. Separate Laurasian and Gondwanan Familial clusters correlate with the Triassic disintegration of Pangaea, while discrete Antarctic. Australian and New Zealand familial/generic clusters relate to the subsequent Jurassic/Cretaceous disintegration of Gondwana.</t>
  </si>
  <si>
    <t>0305-0270</t>
  </si>
  <si>
    <t>1365-2699</t>
  </si>
  <si>
    <t>J BIOGEOGR</t>
  </si>
  <si>
    <t>J. Biogeogr.</t>
  </si>
  <si>
    <t>10.1046/j.1365-2699.1998.251176.x</t>
  </si>
  <si>
    <t>Ecology; Geography, Physical</t>
  </si>
  <si>
    <t>Environmental Sciences &amp; Ecology; Physical Geography</t>
  </si>
  <si>
    <t>ZK939</t>
  </si>
  <si>
    <t>WOS:000073382800004</t>
  </si>
  <si>
    <t>Godoy, JM; Schuch, LA; Nordemann, DJR; Reis, VRG; Ramalho, M; Recio, JC; Brito, RRA; Olech, MA</t>
  </si>
  <si>
    <t>137Cs, 226,228Ra, 210Pb and 40K concentrations in antarctic soil, sediment and selected moss and lichen samples</t>
  </si>
  <si>
    <t>JOURNAL OF ENVIRONMENTAL RADIOACTIVITY</t>
  </si>
  <si>
    <t>RADIONUCLIDES; LATITUDE; FALLOUT</t>
  </si>
  <si>
    <t>During the summers of 1986, 1988 and 1992, soil, sediment, lichen and moss samples were collected near the Brazilian Antarctic station, Comandante Ferraz, King George Island, South Shetland Archipelago, and also in other South Shetland Islands. The content of Cs-137 and of natural radionuclides were determined by gamma spectrometry. Highest Cs-137 levels were found in the lichen and mass samples, with mean values of (15 +/- 14) and (23 +/- 14) Bq kg(dry)(-1), respectively. Particularly in soil, the Ra-226 and Ra-228 contents were much higher for the samples from King George Island than for those from the other islands of the same archipelago. Based on its content in soil, the Cs-137 inventory for the 60-70 degrees S latitude band was estimated at 143 Bq m(2), which agrees with the literature data. (C) 1998 Elsevier Science Ltd. All rights reserved.</t>
  </si>
  <si>
    <t>Comis Nacl Energia Atom, Inst Radioprotecao &amp; Dosimetria, BR-22780970 Rio De Janeiro, Brazil</t>
  </si>
  <si>
    <t>Comissao Nacional de Energia Nuclear (CNEN); Instituto de Radioprotecao e Dosimetria</t>
  </si>
  <si>
    <t>Godoy, JM (corresponding author), Comis Nacl Energia Atom, Inst Radioprotecao &amp; Dosimetria, Caixa Postal 37750, BR-22780970 Rio De Janeiro, Brazil.</t>
  </si>
  <si>
    <t>Nordemann, Daniel/B-1574-2008; Godoy, Jose Marcus/B-2579-2014</t>
  </si>
  <si>
    <t>Godoy, Jose Marcus/0000-0001-6135-090X</t>
  </si>
  <si>
    <t>0265-931X</t>
  </si>
  <si>
    <t>J ENVIRON RADIOACTIV</t>
  </si>
  <si>
    <t>J. Environ. Radioact.</t>
  </si>
  <si>
    <t>10.1016/S0265-931X(97)00084-2</t>
  </si>
  <si>
    <t>Environmental Sciences</t>
  </si>
  <si>
    <t>103YT</t>
  </si>
  <si>
    <t>WOS:000074986000004</t>
  </si>
  <si>
    <t>Johnston, IA; Calvo, J; Guderley, H; Fernandez, D; Palmer, L</t>
  </si>
  <si>
    <t>Latitudinal variation in the abundance and oxidative capacities of muscle mitochondria in perciform fishes</t>
  </si>
  <si>
    <t>JOURNAL OF EXPERIMENTAL BIOLOGY</t>
  </si>
  <si>
    <t>mitochondria; metabolism; temperature; Antarctic fish; sub-Antarctic fish; skeletal muscle; Notothenioidei</t>
  </si>
  <si>
    <t>METABOLIC COLD ADAPTATION; ANTARCTIC FISH; DIFFUSION DISTANCES; SKELETAL-MUSCLE; ACCLIMATION; TEMPERATURE; ULTRASTRUCTURE; TELEOST; FIBERS; SPECIALIZATIONS</t>
  </si>
  <si>
    <t>The abundance, distribution and oxidative capacities of mitochondria have been investigated in the red pectoral fin adductor muscles of fish (Order Perciformes) that use a predominantly labriform style of swimming, Mediterranean Sea species from the families Labridae, Serranidae, Sparidae and Antarctic Nototheniidae and non-Antarctic Nototheniidae and Channichthyidae were studied, Sub-Antarctic species from the Beagle Channel, Tierra del Fuego, included the pelagic haemoglobin-less icefish (Champsocephalus esox) and the robalo (Eleginops maclovinus), which occurs as far north as 35 degrees S. In Champsocephalus esox, the mitochondrial volume density of red muscle was 0.51 and mitochondrial cristae surface density (43.9 mu m(2) mu m(-3)) was higher than reported for Antarctic icefishes, In the red-blooded, active pelagic or semi-pelagic species, mitochondrial volume density was within the range 0.27-0.33 regardless of habitat temperature, Amongst less active demersal species, mitochondrial volume density ranged from 0.29-0.33 in polar species to 0.08-0.13 in Mediterranean species, In Antarctic species and Champsocephalus esox, myofibrils occurred in ribbons or clusters one fibril thick entirely surrounded by mitochondria, The volume density of intracellular lipid droplets was not correlated with activity patterns or habitat temperature, In a comparison of Eleginops maclovinus caught in summer (approximately 10 degrees C) and winter (approximately 4 degrees C), mitochondrial volume density did not differ, whereas the surface density of mitochondrial clusters was higher in summer fish, The temperature-dependence of the state 3 respiration rate of isolated mitochondria with pyruvate as substrate was described by a single quadratic relationship for all species, indicating no significant up-regulation of the maximum rate of oxygen uptake per milligram mitochondrial protein in Antarctic species, Our results support the conclusion that increasing the volume and surface density of mitochondrial clusters is the primary mechanism for enhancing the aerobic capacity of muscle in cold-water fish.</t>
  </si>
  <si>
    <t>Univ St Andrews, Sch Environm &amp; Evolutionary Biol, Gatty Marine Lab, St Andrews KY16 8LB, Fife, Scotland; CONICET, CADIC, Ushuaia, Argentina; Univ Laval, Dept Biol, Quebec City, PQ G1K 7P4, Canada</t>
  </si>
  <si>
    <t>University of St Andrews; Consejo Nacional de Investigaciones Cientificas y Tecnicas (CONICET); Laval University</t>
  </si>
  <si>
    <t>Johnston, IA (corresponding author), Univ St Andrews, Sch Environm &amp; Evolutionary Biol, Gatty Marine Lab, St Andrews KY16 8LB, Fife, Scotland.</t>
  </si>
  <si>
    <t>iaj@st-andrews.ac.uk</t>
  </si>
  <si>
    <t>Johnston, Ian A/D-6592-2013; Johnston, Ian A./AAE-2044-2019</t>
  </si>
  <si>
    <t>Fernandez, Daniel Alfredo/0000-0002-3367-4138</t>
  </si>
  <si>
    <t>COMPANY OF BIOLOGISTS LTD</t>
  </si>
  <si>
    <t>BIDDER BUILDING CAMBRIDGE COMMERCIAL PARK COWLEY RD, CAMBRIDGE, CAMBS, ENGLAND CB4 4DL</t>
  </si>
  <si>
    <t>0022-0949</t>
  </si>
  <si>
    <t>J EXP BIOL</t>
  </si>
  <si>
    <t>J. Exp. Biol.</t>
  </si>
  <si>
    <t>YU156</t>
  </si>
  <si>
    <t>WOS:000071687900001</t>
  </si>
  <si>
    <t>Lewis, RV; Freeman, MP; Rodger, AS; Watanabe, M; Greenwald, RA</t>
  </si>
  <si>
    <t>The behavior of the electric field within the substorm current wedge</t>
  </si>
  <si>
    <t>TWO-DIMENSIONAL OBSERVATIONS; WESTWARD TRAVELING SURGE; AURORAL-ZONE CURRENTS; MAGNETOSPHERIC SUBSTORMS; CURRENT-SYSTEMS; OMEGA-BANDS; RADAR; CONVECTION; SIGNATURES; SATELLITE</t>
  </si>
  <si>
    <t>We use the Goose Bay HF radar to investigate the behavior of the electric field within the substorm current wedge for a small substorm (&lt; 200 nT) which occurred on February 15, 1992. Mid- and high-latitude magnetometer data helped to locate the radar backscatter with respect to the longitudes and latitudes of the substorm currents, as well as describing the time development of the substorm itself. Velocities in the portion of the field of view of the Goose Bay HF radar closest to the Frederikshab magnetometer in Greenland were compared directly with the ionospheric currents inferred from the magnetometer. During the early growth phase, the plasma flow and current gradually increased in response to the DP2 electric field and are related by an estimated effective height-integrated conductivity, Sigma*, similar to 1 S. The plasma flow and current continued to increase in the same proportion (i.e., Sigma* was still similar to 1 S) as the electrojet intensified in stages during the late growth!early expansion phase. In this interval there was probably a pseudo-breakup which established a longitudinally and latitudinally narrow substorm current wedge. The increased plasma flow and current measured at Frederikshab are attributed to the superposition of the pseudo-breakup/current wedge electric field on the preexisting DP2 electric field. Evidently, the enhanced ionospheric conductivity strip usually associated with the current wedge is initially located equatorward of Frederikshab, since its effect is not apparent at that location. During the expansion phase proper, a clearly resolved current wedge expanded so that the radar backscatter lay within it. The expansion led to an increased current over Frederikshab, but a slightly suppressed plasma flow, related by an increased Sigma* similar to 4 S: the effect of the precipitation induced conductivity strip now apparent. It is suggested that near-Earth current disruption may play a significant role in the onset of this particular substorm, which occurred during a nonstorm time interval.</t>
  </si>
  <si>
    <t>British Antarctic Survey, NERC, Cambridge CB3 0ET, England; Johns Hopkins Univ, Appl Phys Lab, Laurel, MD 20723 USA; Natl Inst Polar Res, Itabashi Ku, Tokyo 173, Japan</t>
  </si>
  <si>
    <t>UK Research &amp; Innovation (UKRI); Natural Environment Research Council (NERC); NERC British Antarctic Survey; Johns Hopkins University; Johns Hopkins University Applied Physics Laboratory; Research Organization of Information &amp; Systems (ROIS); National Institute of Polar Research (NIPR) - Japan</t>
  </si>
  <si>
    <t>Lewis, RV (corresponding author), British Antarctic Survey, NERC, High Cross,Madingley Rd, Cambridge CB3 0ET, England.</t>
  </si>
  <si>
    <t>r.lewis@bas.ac.uk</t>
  </si>
  <si>
    <t>Freeman, Mervyn/E-5687-2019</t>
  </si>
  <si>
    <t>Freeman, Mervyn/0000-0002-8653-8279; Greenwald, Raymond/0000-0002-7421-5536</t>
  </si>
  <si>
    <t>A1</t>
  </si>
  <si>
    <t>10.1029/97JA01987</t>
  </si>
  <si>
    <t>YQ714</t>
  </si>
  <si>
    <t>WOS:000071415900015</t>
  </si>
  <si>
    <t>Hall, DL; Munakata, K; Yasue, S; Mori, S; Kato, C; Koyama, M; Akahane, S; Fujii, Z; Fujimoto, K; Humble, JE; Fenton, AG; Fenton, KB; Duldig, ML</t>
  </si>
  <si>
    <t>Preliminary analysis of two-hemisphere observations of sidereal anisotropies of galactic cosmic rays</t>
  </si>
  <si>
    <t>ASYMMETRY</t>
  </si>
  <si>
    <t>By using the two-hemisphere network of underground muon telescopes we have examined the average sidereal daily variations in the countries recorded by 48-component muon telescopes. The telescopes respond to primary cosmic rays with rigidities between similar to 140 and 1700 GV and view almost the entire celestial sphere. We have modeled the data by using Gaussian functions, and we have related the Gaussian parameters to the recent tail-in and loss cone anisotropy model proposed by Nagashima er al. [1995a, b] to explain the sidereal daily variations. We have used the model parameters to derive the rigidity and latitude spectra of the galactic anisotropies and find them to be qualitatively in agreement with Nagashima et al.'s predictions. The results indicate, however, that the tail-in anisotropy is asymmetric about its reference axis, whereas the loss cone anisotropy is more symmetric. We show that these characteristics of the galactic anisotropies may explain the north-south asymmetry observed in the amplitude of the sidereal diurnal variation derived from Fourier analysis techniques.</t>
  </si>
  <si>
    <t>Shinshu Univ, Fac Sci, Dept Phys, Matsumoto, Nagano 390, Japan; Nagoya Univ, Solar Terr Environm Lab, Nagoya, Aichi 464, Japan; Univ Tasmania, Dept Phys, Hobart, Tas 7001, Australia; Australian Antarctic Div, Kingston, Tas 7050, Australia</t>
  </si>
  <si>
    <t>Shinshu University; Nagoya University; University of Tasmania; Australian Antarctic Division</t>
  </si>
  <si>
    <t>Hall, DL (corresponding author), Shinshu Univ, Fac Sci, Dept Phys, Matsumoto, Nagano 390, Japan.</t>
  </si>
  <si>
    <t>Humble, John/0000-0002-4698-1671; Duldig, Marcus/0000-0001-7463-8267</t>
  </si>
  <si>
    <t>10.1029/97JA02520</t>
  </si>
  <si>
    <t>WOS:000071415900032</t>
  </si>
  <si>
    <t>Siegert, MJ; Ridley, JK</t>
  </si>
  <si>
    <t>Determining basal ice-sheet conditions in the Dome C region of East Antarctica using satellite radar altimetry and airborne radio-echo sounding</t>
  </si>
  <si>
    <t>JOURNAL OF GLACIOLOGY</t>
  </si>
  <si>
    <t>SUBGLACIAL LAKES</t>
  </si>
  <si>
    <t>Large subglacial lakes manifest themselves as flat regions on the ice surface. ERS-1 satellite radar altimetry of the Dome C region of East Antarctica was analyzed to correlate unusually flat areas on the ice surface with known locations of subglacial lakes identified from airborne radio-echo sounding (RES) data. The mean length of subglacial lakes which have an expression in the ice-sheet surface was similar to 8.3 km, whilst those that did not exhibit a surface morphological manifestation had a mean length of similar to 3.3 km. Thus, lakes up to about 4 km in length are unlikely to be detected from satellite radar altimetry of the ice surface. Given that the spacing of radio-echo flight tracks within the SPRI-NSF-TUD Antarctic database is 50-100 km in many areas, a number of subglacial lakes probably lie undetected beneath the ice sheet. RES information from two large, flat surface regions within Dome C, and a further flat area located at 80 degrees S, 127 degrees E, indicates the absence of subglacial lakes beneath the ice-surface features. However, these areas are characterised by relatively strong radio-echo returns which may indicate the presence of water-saturated basal sediments. We suggest that (1) blankets of water-saturated basal sediments may cause similar surface morphological features to those produced by subglacial lakes; and (2) misidentification of subglacial lakes from satellite altimeter observations of the ice-sheet surface is possible without the support of RES information relating to the ice-sheet base. Furthermore, our study indicates a lack of subglacial lake signals from RES data over relatively thick regions of East Antarctica such as the Adventure Subglacial Trough. We conclude that subglacial water produced in such regions may be transported by a basal hydrological system, driven by overburden pressure, to less thick regions of the ice sheet where subglacial lakes have been identified.</t>
  </si>
  <si>
    <t>Univ Wales, Dept Geog &amp; Earth Sci, Ctr Glaciol, Aberystwyth SY23 3DB, Cereigion, Wales; UCL, Mullard Space Sci Lab, Dorking RH5 6NT, Surrey, England</t>
  </si>
  <si>
    <t>Aberystwyth University; University of London; University College London</t>
  </si>
  <si>
    <t>Siegert, MJ (corresponding author), Univ Wales, Dept Geog &amp; Earth Sci, Ctr Glaciol, Aberystwyth SY23 3DB, Cereigion, Wales.</t>
  </si>
  <si>
    <t>Siegert, Martin J/A-3826-2008; Siegert, Martin/M-9939-2019</t>
  </si>
  <si>
    <t>Siegert, Martin J/0000-0002-0090-4806; Siegert, Martin/0000-0002-0090-4806</t>
  </si>
  <si>
    <t>INT GLACIOL SOC</t>
  </si>
  <si>
    <t>0022-1430</t>
  </si>
  <si>
    <t>J GLACIOL</t>
  </si>
  <si>
    <t>J. Glaciol.</t>
  </si>
  <si>
    <t>105NA</t>
  </si>
  <si>
    <t>WOS:000075078600001</t>
  </si>
  <si>
    <t>Frolich, RM; Doake, CSM</t>
  </si>
  <si>
    <t>Synthetic aperture radar interferometry over Rutford Ice Stream and Carlson Inlet, Antarctica</t>
  </si>
  <si>
    <t>SHEET MOTION; TOPOGRAPHY; FIELD</t>
  </si>
  <si>
    <t>We describe the calibration and interpretation of interferograms generated from ERS-1 synthetic aperture radar Single Look Complex (SAR.SLC) images of the Rutford Ice Stream area. Ground surveys provide over 100 tie-points with which to optimise the interferometric baselines that separate nominally repeated satellite orbits. Covariant tie-point errors are dealt with by constructing an error covariance matrix for the expected values of the unwrapped interferometric phases at the tie-points. With baseline parameters that minimise the weighted residual variance, rms tie-point residuals of less than 1 cm in slant range are obtained. These are attributed to a combination of interferometric phase noise, movement survey errors and inadequate slope information. The image set used is inadequate for isolating the influences of topography and movement, so the glaciological conclusions to be drawn are limited. Nevertheless, the interferograms confirm that the whole of the upper 50 km of Carlson Inlet flows at a speed less than a tenth of that of the neighbouring Rutford Ice Stream. Also confirmed are the entry of faster-moving ice into the lower reaches of Carlson Inlet and the position of part of the Carlson Inlet grounding line. In general, the distribution of the residuals suggests no significant differences in ice movement between 1978 and 1992. An exception is the neighbourhood of the shear margin between Rutford Ice Stream and Carlson Inlet, where inconsistencies between ground surveys over the periods 1984-86 and 1994-96 and interferograms from 1994 and 1996 suggest fluctuations in velocity of up to 10 m year(-1).</t>
  </si>
  <si>
    <t>Frolich, RM (corresponding author), British Antarctic Survey, NERC, High Cross,Madingley Rd, Cambridge CB3 0ET, England.</t>
  </si>
  <si>
    <t>10.3189/S0022143000002379</t>
  </si>
  <si>
    <t>WOS:000075078600009</t>
  </si>
  <si>
    <t>Bentley, CR; Lord, N; Liu, C</t>
  </si>
  <si>
    <t>Radar reflections reveal a wet bed beneath stagnant Ice Stream C and a frozen bed beneath ridge BC, West Antarctica</t>
  </si>
  <si>
    <t>Digital airborne radar data were collected during the 1987-88 Antarctic field season in nine gridded blocks covering the downstream portions of Ice Stream B (6 km spacing) and Ice Stream C (11 km spacing), together with a portion of ridge BC between them. An automated processing procedure was used for picking onset times of the reflected radar pulses, converting travel times to distances, interpolating missing data, converting pressure transducer readings, correcting navigational drift, performing crossover analysis, and zeroing remanent crossover errors. Interpolation between flight-lines was carried out using the minimum curvature method. Maps of ice thickness (estimated accuracy 20 m) and basal-reflection strength (estimated accuracy 1 dB) were produced. The ice-thickness map confirms the characteristics of previous reconnaissance maps and reveals no new features. The reflection-strength map shows pronounced contrasts between the ice streams and ridge BC and between the two ice streams themselves. We interpret the reflection strengths to mean that the bed of Ice Stream C, as well as that of Ice Stream B, is unfrozen, that the bed of ridge BC is frozen and that the boundary between the frozen bed of ridge BC and the unfrozen bed of Ice Stream C lies precisely below the former shear margin of the ice stream.</t>
  </si>
  <si>
    <t>Univ Wisconsin, Geophys &amp; Polar Res Ctr, Madison, WI 53706 USA</t>
  </si>
  <si>
    <t>University of Wisconsin System; University of Wisconsin Madison</t>
  </si>
  <si>
    <t>Bentley, CR (corresponding author), Univ Wisconsin, Geophys &amp; Polar Res Ctr, Madison, WI 53706 USA.</t>
  </si>
  <si>
    <t>10.3189/S0022143000002434</t>
  </si>
  <si>
    <t>WOS:000075078600015</t>
  </si>
  <si>
    <t>Bentley, CR</t>
  </si>
  <si>
    <t>Rapid sea-level rise from a West Antarctic ice-sheet collapse: a short-term perspective</t>
  </si>
  <si>
    <t>STREAM-B; SHELF; OSCILLATIONS; TRANSITION; MODEL; FLOW</t>
  </si>
  <si>
    <t>Will worldwide sea level soon rise rapidly because of a shrinkage of the West Antarctic Ice sheet (WAIS)? Here I give a personal perspective of that probability. The crucial question is not whether large changes in ice mass can occur, but how likely it is that a large, rapid change, say a several-fold increase in the 20th-century rate of about 2 mm a(-1) will occur in the next century or two from a West Antarctic cause. Twenty years ago Weertman proposed that a marine ice sheet is inherently unstable. But Weertman's analysis was based on a simple model of a marine ice sheet that did not include fast-flowing, wet-based ice streams, which are now known to dominate the grounded ice sheet. Modern analyses do not definitively determine just how ice streams affect the stability of the WAIS, but it can at least be said that there is no compelling theoretical reason to expect a rapid rise in sea level from the WAIS triggered by ice-shelf thinning. Of the three main ice-drainage systems in the WAIS, the one that flows into Pine Island Bay might be a particularly likely site for accelerated now since there is no ice shelf to restrain the inflowing ice streams, yet measurements show that this system is not significantly out of mass balance. If the Ross Embayment system, which has undergone several sudden glacial reorganizations in the last thousand years, were unstable one might expect a history of large changes in the total outflow of ice into the Ross Ice Shelf, yet the total outflow in the Ross Embayment has remained relatively unchanged despite the large internal perturbations, a fact that points to a stable, not an unstable, system. Study of the third major drainage from the WAIS, into the Ronne Ice Shelf, also suggests that there is no gross discordance between the present velocity. vectors and flow tracers in the ice shelf, although the evidence is limited. In the light of the evidence for recent stability, it is difficult to see how climate warming (whether anthropogenic or natural) could trigger a collapse of the WAIS in the next century or two. Thus, I believe that a rapid rise in sea level in the next century or two from a West Antarctic cause could only occur if a natural (not induced) collapse of the WAIS were imminent. Based on a concept of pseudo-random collapse once per major glacial cycle, I estimate the chances of that to be on the order of one in a thousand.</t>
  </si>
  <si>
    <t>EDINBURGH BLDG, SHAFTESBURY RD, CB2 8RU CAMBRIDGE, ENGLAND</t>
  </si>
  <si>
    <t>1727-5652</t>
  </si>
  <si>
    <t>10.3189/S0022143000002446</t>
  </si>
  <si>
    <t>WOS:000075078600016</t>
  </si>
  <si>
    <t>Casas, JM; Sabat, F; Vilaplana, JM; Pares, JM; Pomeroy, DM</t>
  </si>
  <si>
    <t>A new portable ice-core drilling machine: application to tephra studies</t>
  </si>
  <si>
    <t>A new portable device for ice-core drilling, specially designed for thin tephra-layer sampling, was tested on the South Shetland glaciers during the 1994-95 Antarctic summer. The machine is based on a combination of the standard paleomagnetism drilling machine and a specially built drill-bit designed for ice-coring.</t>
  </si>
  <si>
    <t>Univ Barcelona, Dept Geol Dinam Geofis &amp; Paleontol, E-08071 Barcelona, Spain; CSIC, Inst Ciencies Terra Jaume Almera, E-08071 Barcelona, Spain; Pomeroy Ind Unlimited, Menlo Park, CA 94025 USA</t>
  </si>
  <si>
    <t>University of Barcelona; Consejo Superior de Investigaciones Cientificas (CSIC); CSIC - Geociencias Barcelona (GEO3BCN)</t>
  </si>
  <si>
    <t>Casas, JM (corresponding author), Univ Barcelona, Dept Geol Dinam Geofis &amp; Paleontol, Marti Franques S-N, E-08071 Barcelona, Spain.</t>
  </si>
  <si>
    <t>Pares, Josep M./K-9299-2014</t>
  </si>
  <si>
    <t>Sabat, Francesc/0000-0002-9188-2234; Casas Tuset, Josep Maria/0000-0001-7760-7028</t>
  </si>
  <si>
    <t>10.3189/S0022143000002483</t>
  </si>
  <si>
    <t>WOS:000075078600020</t>
  </si>
  <si>
    <t>Legresy, B; Remy, F</t>
  </si>
  <si>
    <t>Using the temporal variability of satellite radar altimetric observations to map surface properties of the Antarctic ice sheet</t>
  </si>
  <si>
    <t>RETURN; SNOW</t>
  </si>
  <si>
    <t>The problem of measuring surface height and snowpack characteristics from satellite radar altimeter echoes is investigated. In this paper, we perform an analysis of the ERS1 altimeter dataset acquired during a 3 day repeat orbit. The analysis reveals that there are temporal variations in shapes of the radar altimeter echo and that these variations are linked to meteorological phenomena. The time- and space-scales over which these variations apply are a few to tens of days and a few hundred kilometres, respectively. This phenomenon, if not accounted for, can create error in the height measurement. A numerical echo model is used to recover snowpack characteristics by taking advantage of the temporal variations of the radar echoes, A map of penetration depth of the radar waves in the Ku band over the;Antarctic continent is obtained and suggests that grain-size produces the dominant effect on radar extinction in the snowpack at this frequency. Finally, a procedure is proposed to correct the height measurement within the contest of ice-sheet mass-balance survey.</t>
  </si>
  <si>
    <t>UMR 5566, F-61401 Toulouse 4, France</t>
  </si>
  <si>
    <t>Legresy, B (corresponding author), UMR 5566, 18 Ave E Berlin, F-61401 Toulouse 4, France.</t>
  </si>
  <si>
    <t>10.3189/S0022143000002537</t>
  </si>
  <si>
    <t>143RN</t>
  </si>
  <si>
    <t>WOS:000077270400001</t>
  </si>
  <si>
    <t>Bentley, CR; Wahr, JM</t>
  </si>
  <si>
    <t>Satellite gravity and the mass balance of the Antarctic ice sheet</t>
  </si>
  <si>
    <t>PALEOTOPOGRAPHY</t>
  </si>
  <si>
    <t>Changes in the Earth's gravity field with time have important applications to a broad range of disciplines. Any process that involves a large enough horizontal redistribution of mass, either within the Earth or on or above its surface, is potentially detectable. In particular, when ice sheets: grow or shrink, gravity changes as mass is redistributed in the solid earth and between the oceans and the ice sheets. The sources of global sea-level rise (about 2 mm a(-1) over the last century) and in particular the contribution of the Antarctic ice sheet thereto are not well understood. Gravity measurements can help to diminish this uncertainty. The technology currently exists to measure gravity with high accuracy by a dual-satellite mission in which the distance between the satellites is precisely monitored. We estimate from recent studies that temporal changes in the gravity. field as determined by a satellite gravity mission lasting 5 years at an orbital height of 400 km would be sensitive to changes in the overall mass of the Antarctic ice sheet to a precision corresponding to better than 0.01 mm a(-1) of sea-level change. However, the effects of three other phenomena that could each produce a temporally varying gravity signal with characteristics comparable to that caused by a change in Antarctic ice - postglacial rebound, inter-annual variability in snowfall, and atmospheric pressure trends - also need to be evaluated. Postglacial rebound could be paltry separated from ice-mass changes with the aid of global positioning system campaigns and numerical models of rebound that use improved determinations of mantle viscosity also provided by the gravity mission. Determination of inter-annual ice-mass changes will be aided by measurements of moisture-flux divergence around the perimeters of the ice sheets and direct observations of inter-annual changes by the gravity satellite itself The removal of pressure effects over Antarctica will become more effective as the number of automatic weather stations in the interior of the continent increases. Even after, corrections are made for these factors, the uncertainties they cause limit the accuracy in the determination of the contribution of the Antarctic ice sheet to sea-level change to about 0.5 mm a(-1). However, there is a strong complementarity between gravity measurements and the surface-height measurements that will be produced by NASA's laser altimeter mission early next century. Together, they should be able to determine that contribution to an accuracy of about 0.1 mm a(-1).</t>
  </si>
  <si>
    <t>Univ Wisconsin, Geophys &amp; Polar Res Ctr, Madison, WI 53706 USA; Univ Colorado, Inst Arctic &amp; Alpine Res, Boulder, CO 80309 USA</t>
  </si>
  <si>
    <t>University of Wisconsin System; University of Wisconsin Madison; University of Colorado System; University of Colorado Boulder</t>
  </si>
  <si>
    <t>Univ Wisconsin, Geophys &amp; Polar Res Ctr, Madison, WI 53706 USA.</t>
  </si>
  <si>
    <t>10.3189/S0022143000002549</t>
  </si>
  <si>
    <t>WOS:000077270400002</t>
  </si>
  <si>
    <t>Engelhardt, H; Kamb, B</t>
  </si>
  <si>
    <t>Basal sliding of Ice Stream B, West Antarctica</t>
  </si>
  <si>
    <t>BED DEFORMATION; VELOCITY; FLOW</t>
  </si>
  <si>
    <t>A tethered stake apparatus is used to measure basal sliding in a borehole on Ice Stream B,West Antarctica, about 300 km upstream (east) from its: grounding line near the head of the Ross Ice Shelf A metal stake, emplaced at the top of a layer of unfrozen till underlying the ice, is connected by a tether line to a metering unit that measures the tether line as it is pulled out from the borehole by the stake as a result of basal sliding. The measured sliding motion includes any actual slip across the ice-till interface and may include in addition a possible contribution from shear deformation of till within about 3 cm of the interface. This 3 cm figure follows from a qualitative model of the movements of the stake in the course of the experiment, based on features of the record of apparent sliding. Alternative but less likely models would increase the figure from 3 cm to 10 cm or 25 cm. In any case it is small compared to the seismically inferred till thickness of 9 m. Measured apparent sliding averages 69% of the total motion of 1.2 m d(-1) over 26 days of observation if a 3.5 day period of slow apparent sliding (8% of the total motion) is included in the average. The occurrence of the slow period raises the possibility that the sliding motion switches back and forth between c. 80% and c. 8% of the total motion, on a time-scale of a few days. However, it is likely that the period of slow apparent sliding represents instead a period when the stake got caught on the ice sole. If the slow period is therefore omitted, the indicated average basal sliding rate is 83 % of the total motion. In either case, basal sliding predominates as the cause of the rapid ice-stream motion. In the last 2 days of observation the average apparent sliding rate reached 1.17 m d(-1), essentially 100% of the motion of the ice stream. If till deformation contributes significantly to the ice-stream motion, the contribution is concentrated in a shear zone 3 cm to possibly 25 cm thick at the top of the 9 m thick till layer. These observations, if applicable to the West Antarctic ice sheet in general, pose complications in modeling the rapid ice-streaming motion.</t>
  </si>
  <si>
    <t>CALTECH, Div Geol &amp; Planetary Sci, Pasadena, CA 91125 USA</t>
  </si>
  <si>
    <t>California Institute of Technology</t>
  </si>
  <si>
    <t>Engelhardt, H (corresponding author), CALTECH, Div Geol &amp; Planetary Sci, Pasadena, CA 91125 USA.</t>
  </si>
  <si>
    <t>WOS:000077270400004</t>
  </si>
  <si>
    <t>Cuffey, KM; Steig, EJ</t>
  </si>
  <si>
    <t>Isotopic diffusion in polar firn: implications for interpretation of seasonal climate parameters in ice-core records, with emphasis on central Greenland</t>
  </si>
  <si>
    <t>TEMPERATURE; SNOW; PROFILES; SUMMIT; PALEOTHERMOMETER; ACCUMULATION; SHEET; MODEL; AIR</t>
  </si>
  <si>
    <t>If it were possible to properly extract seasonal information from ice-core isotopic records, paleoclimate researchers could retrieve a wealth of new information concerning the nature of climate changes and the meaning of trends observed in ice-core proxy records. It is widely recognized, however, that the diffusional smoothing of the seasonal record makes a proper extraction very difficult. In this paper, we examine the extent to which seasonal information (specifically the amplitude and shape of the seasonal cycle) is irrecoverably destroyed by diffusion in the firm. First, we show that isotopic diffusion in firn is reasonably well understood. We do this by showing that a slightly modified version of the Whillans and Grootes (1985) theory makes a tenable a priori prediction of the decay of seasonal isotopic amplitudes with depth at the GISP2 site, though a small adjustment to one parameter significantly improves the prediction. Further, we calculate the amplitude decay at various other ice-core sites and show that these predictions compare favorably with published data from South Pole and locations in southern and central Greenland and the Antarctic Peninsula. We then present numerical experiments wherein synthetic ice-core records are created, diffused, sampled, reconstructed and compared to the original. These show that, after, diffusive mixing in the entire firn column, seasonal amplitudes can be reconstructed to within about 20% error in central Greenland but that all information about sub-annual signals is permanently lost there. Furthermore, most of the error in the amplitude reconstructions is due to the unknowable variations in the subannual signal. Finally, we explore how these results can be applied to other locations and suggest that Dye 3 has a high potential fur meaningful seasonal reconstructions, while Siple Dome has no potential at all. An optimal ice-core site for seasonal reconstructions has a high accumulation rate and a low temperature.</t>
  </si>
  <si>
    <t>Univ Washington, Dept Geol Sci, Seattle, WA 98195 USA; Univ Washington, Quaternary Isotope Lab, Seattle, WA 98195 USA</t>
  </si>
  <si>
    <t>University of Washington; University of Washington Seattle; University of Washington; University of Washington Seattle</t>
  </si>
  <si>
    <t>Cuffey, KM (corresponding author), Univ Washington, Dept Geol Sci, Box 35130, Seattle, WA 98195 USA.</t>
  </si>
  <si>
    <t>Steig, Eric J/G-9088-2015</t>
  </si>
  <si>
    <t>10.3189/S0022143000002616</t>
  </si>
  <si>
    <t>WOS:000077270400009</t>
  </si>
  <si>
    <t>Hindmarsh, RCA</t>
  </si>
  <si>
    <t>The stability of a viscous till sheet coupled with ice flow, considered at wavelengths less than the ice thickness</t>
  </si>
  <si>
    <t>SLIDING FRICTIONLESS; DEFORMATION; GLACIERS; BEDROCK; BED; MECHANISM; BENEATH; STREAM; MOTION</t>
  </si>
  <si>
    <t>A perturbation method is used to analyse the stability of a thin till layer overlain by a deep ice layer. Ice is modelled as a linearly viscous fluid, while the till viscosity has power-law dependence on stress and effective pressure. A linearized set of equations yields descriptions of the coupling of the ice flow with the sediment flow and reveals parameter ranges where the till-perturbation amplitude can grow. This sheet-flow instability is an essential part of any theory of drumlin formation and shows that viscous models of till have the ability to explain typical deforming-bed features. This is of great significance for large-scale ice-sheet modelling.</t>
  </si>
  <si>
    <t>Hindmarsh, RCA (corresponding author), British Antarctic Survey, NERC, Madingley Rd, Cambridge CB3 0ET, England.</t>
  </si>
  <si>
    <t>10.3189/S0022143000002628</t>
  </si>
  <si>
    <t>WOS:000077270400010</t>
  </si>
  <si>
    <t>Drumlinization and drumlin-forming instabilities: viscous till mechanisms</t>
  </si>
  <si>
    <t>SUBGLACIAL GLACIOTECTONIC DEFORMATION; ICE-SHEET LOBES; SEDIMENT DEFORMATION; BED DEFORMATION; ORIGIN; FLOODS; LINEATIONS; LANDFORMS; GLACIERS; EROSION</t>
  </si>
  <si>
    <t>Glacially induced flow naturally tends to thin and extended till cover through shock formation, even in the absence of longitudinal gradients in the applied stress. Thicker till cover has an increased effective pressure at its surface and base, a lower sliding velocity or deformation rate and above a critical thickness, a decrease in wave velocity with thickness, leading to reverse-facing shocks moving downstream. For sliding and for some rheologies of internal deformation, a decrease in sediment flux with thickness occurs, implying backward-moving kinematic waves and reverse-facing, reverse-moving shocks. Downstream-facing shocks are also formed which move upstream if the till is sliding and downstream if the till is deforming internally. Eventually, shocks coalesce, leaving an upstream-facing shock for sliding and a downstream-facing shock for internal deformation. It is observed that some drumlins have downstream blunt ends only. Fairly realistic three-dimensional drumlin shapes can be produced from symmetric sediment bodies and barchan shapes can be produced from linear forms perpendicular to the ice-sheet flow. The fact the viscous theories produce drumlinoid forms suggests that on this scale till behaves viscously and the lower length scale for drumlins represents the plastic/viscous transition scale.</t>
  </si>
  <si>
    <t>10.3189/S002214300000263X</t>
  </si>
  <si>
    <t>WOS:000077270400011</t>
  </si>
  <si>
    <t>Wilson, GS; Harwood, DM; Askin, RA; Levy, RH</t>
  </si>
  <si>
    <t>Late Neogene Sirius Group strata in Reedy Valley, Antarctica: a multiple-resolution record of climate, ice-sheet and sea-level events</t>
  </si>
  <si>
    <t>SOUTHERN VICTORIA-LAND; TRANSANTARCTIC MOUNTAINS; DRY-VALLEYS; CENOZOIC GLACIATION; DIATOMS; HISTORY; MARINE; SEDIMENTARY; LEAVES; IMPACT</t>
  </si>
  <si>
    <t>Late Neogene Sirius Group strata from Tillite Spur and Quartz Hills in the Reedy Glacier area, Antarctica, demonstrate the variability in Sirius Group facies and contrasts Sirius Group strata deposited at high and low palco-elevation, respectively. The Tillite Spur and Quartz Hills Formations (Pliocene) are formally defined here. The Tillite Spur Formation type section crops out on the edge of the Wisconsin Plateau overlooking Tillite Spur. It comprises 32 m of alternating coarse gray conglomerate and muddy olive-brown diamictites. The Quartz Hills Formation type section crops out above the western margin of Reedy Glacier in a pre-existing cirque towards the southern end of the Quartz Hills. It comprises c. 100 m of alternating massive diamictites and rhythmically interbedded sandstone and laminated mudstones which were deposited close to sea level and subsequently rapidly uplifted (&gt;500 m Myr(-1)) to their present elevation at c. 1500 m. Three orders of paleoclimatic variability are recorded in the Sirius Group strata from Reedy Valley: (1) recycled marine microfloras in glacial diamictites indicate intervals of marine incursion into the Antarctic cratonic interior co-occurring with reductions in the East Antarctic ice sheet; (2) an advancing and retreating paleo-Reedy Glacier deposited a glacial/interglacial sequence alternating on a 10-100 kyr scale; (3) Centimeter and millimeter stratification in strata of the Quartz Hills Formation record annual kyr scale variability.</t>
  </si>
  <si>
    <t>Ohio State Univ, Byrd Polar Res Ctr, Columbus, OH 43210 USA; Univ Nebraska, Dept Geol, Lincoln, NE 68588 USA</t>
  </si>
  <si>
    <t>University System of Ohio; Ohio State University; University of Nebraska System; University of Nebraska Lincoln</t>
  </si>
  <si>
    <t>Inst Geol &amp; Nucl Sci, POB 30-368, Lower Hutt, New Zealand.</t>
  </si>
  <si>
    <t>Wilson, Gary S/B-3803-2010; Levy, Richard H/E-2477-2011</t>
  </si>
  <si>
    <t>Wilson, Gary/0000-0003-0025-3641; Levy, Richard/0000-0002-8783-0167</t>
  </si>
  <si>
    <t>10.3189/S0022143000001957</t>
  </si>
  <si>
    <t>170JW</t>
  </si>
  <si>
    <t>WOS:000078803400001</t>
  </si>
  <si>
    <t>Nye, JF</t>
  </si>
  <si>
    <t>Diffusion of isotopes in the annual layers of ice sheets</t>
  </si>
  <si>
    <t>WATER-VEIN SYSTEM; POLYCRYSTALLINE ICE; CORE</t>
  </si>
  <si>
    <t>The annual layering the Greenland and Antarctic ice sheets revealed by the delta(18)O record becomes less distinct with depth because of self-diffusion. However, the calculated diffusion rates are too slow to explain the observations. It is suggested that the presence of veins of liquid water increases the effective diffusion constant by a factor of about 20.</t>
  </si>
  <si>
    <t>Univ Bristol, HH Wills Phys Lab, Bristol BS8 1TL, Avon, England</t>
  </si>
  <si>
    <t>Nye, JF (corresponding author), Univ Bristol, HH Wills Phys Lab, Tyndall Ave, Bristol BS8 1TL, Avon, England.</t>
  </si>
  <si>
    <t>nye, john f/G-2705-2012</t>
  </si>
  <si>
    <t>10.3189/S0022143000001982</t>
  </si>
  <si>
    <t>WOS:000078803400004</t>
  </si>
  <si>
    <t>Ice-stream surface texture, sticky spots, waves and breathers: the coupled flow of ice, till and water</t>
  </si>
  <si>
    <t>SUBGLACIAL SEDIMENT DEFORMATION; WEST ANTARCTICA; BED DEFORMATION; SHEET; MECHANISM; SYSTEM; DYNAMICS; BENEATH; MODEL; STAGNATION</t>
  </si>
  <si>
    <t>This paper addresses the coupling of flows of ice, till and water, and the issue of whether such coupling provides mechanisms for meso-scale (kilometres to tells of kilometres) variability in ice-sheet flow and texture. The question of whether effective pressures at the ice-bed interface are statically or hydraulically controlled is examined in this paper. The answer is scale dependent, and has a significant effect on the relationship between ice surface and basal topography. The consequences of these considerations on till flow, coupled ice-till flow and coupled ice, till and water flow are examined. An analysis of till-flow kinematics and shock formation is carried out. The linear stability of coupled long-wavelength ice-till flow is analysed, and regions in parameter space where this now is unstable, with rather small rate constants are found. Upstream-moving ice surface waves are predicted. The linear stablity of coupled ice-till-water flow is examined, where water flow is modelled using a basal flow system with effective-pressure-dependent properties. Again, regions in parameter space where the system is linearly unstable are found, this time with relatively rapid rate constants. The water pressure exhibits breather modes. These analyses assume that there is a substantial basal traction. A problem with models of ice streams wholly restrained at tl:le side is identified: they seem to predict erosion rates which are unfeasibly large. There appears to be sufficient variability In the ice-till-water system to potentially explain texture in ice-stream surfaces, variations in ice-stream thickness of tens of metres not directly relatable to topography, and waives moving upstream or downstream. Most importantly, the ice-stream-bed system is shown to exhibit meso-scale variability simply by coupling ice flow according to the shallow-ice approximation, till flow according to the hydrostatic thin-till approximation and water flow according to an effective-pressure-dependent hydraulics.</t>
  </si>
  <si>
    <t>10.3189/S0022143000002100</t>
  </si>
  <si>
    <t>WOS:000078803400016</t>
  </si>
  <si>
    <t>Gogineni, S; Chuah, T; Allen, C; Jezek, K; Moore, RK</t>
  </si>
  <si>
    <t>An improved coherent radar depth sounder</t>
  </si>
  <si>
    <t>GREENLAND ICE-SHEET; LASER ALTIMETRY; POLAR ICE; THICKNESS; TOPOGRAPHY; GLACIERS; USA</t>
  </si>
  <si>
    <t>The University of Kansas developed a coherent radar depth sounder during the 1980s. This system was originally developed for glacial ice-thickness measurements in the Antarctic. During the field tests in the Antarctic and Greenland, we found the system performance to be less than optimum. The field tests in Greenland were performed in 1993, as a part of the NASA Program for Arctic Climate Assessment (PARCA). We redesigned and rebuilt this system to improve the performance. The radar uses pulse compression and coherent signal processing to obtain high sensitivity and fine along-track resolution. It operates at a center frequency of 150 MHz with a radio frequency bandwidth of about 17 MHz, which gives a range resolution of about 5 m in ice. We have been operating it from a NASA P-3 aircraft for collecting ice-thickness data in conjunction with laser surface-elevation measurements over the Greenland ice sheet during the last 4 years. We have demonstrated that this radar can measure the thickness of more than 3 km of cold ice and can obtain ice-thickness information over outlet glaciers and ice margins. In this paper we provide a brief survey of radar sounding of glacial ice, followed by a description of the system and subsystem design and performance. We also show sample results from the field experiments over the Greenland ice sheet and its outlet glaciers.</t>
  </si>
  <si>
    <t>Univ Kansas, Radar Syst &amp; Remote Sensing Lab, Lawrence, KS 66045 USA; Silicon Wireless, Mt View, CA 94043 USA; Ohio State Univ, Byrd Polar Res Ctr, Columbus, OH 43210 USA</t>
  </si>
  <si>
    <t>University of Kansas; University System of Ohio; Ohio State University</t>
  </si>
  <si>
    <t>Gogineni, S (corresponding author), Univ Kansas, Radar Syst &amp; Remote Sensing Lab, 2291 Irving Hill Rd, Lawrence, KS 66045 USA.</t>
  </si>
  <si>
    <t>10.3189/S0022143000002161</t>
  </si>
  <si>
    <t>WOS:000078803400022</t>
  </si>
  <si>
    <t>Jun, L; Jacka, TH</t>
  </si>
  <si>
    <t>Horizontal shear rate of ice initially exhibiting vertical compression fabrics</t>
  </si>
  <si>
    <t>FLOW</t>
  </si>
  <si>
    <t>10.3189/S0022143000002173</t>
  </si>
  <si>
    <t>WOS:000078803400023</t>
  </si>
  <si>
    <t>Morgan, V; Elcheikh, A; Brand, R</t>
  </si>
  <si>
    <t>Technique for improving core quality in intermediate-depth ice drilling</t>
  </si>
  <si>
    <t>Morgan, V (corresponding author), Antarctic CRC, Box 252-80, Hobart, Tas 7001, Australia.</t>
  </si>
  <si>
    <t>10.3189/S0022143000002185</t>
  </si>
  <si>
    <t>WOS:000078803400024</t>
  </si>
  <si>
    <t>Aoki, M; Nakano, T; Kanda, H; Deguchi, H</t>
  </si>
  <si>
    <t>Photobionts isolated from Antarctic lichens</t>
  </si>
  <si>
    <t>JOURNAL OF MARINE BIOTECHNOLOGY</t>
  </si>
  <si>
    <t>Three photobionts, Elliptochloris bilobata, Trebouxia incrustata, and Trebouxia cf. impressa. have beer! isolated and cultured from some lichens collected in East Antarctica. They grew vigorously in culture at 15 degrees C but died at 20 degrees C, Elliptochloris bilobata and Trebouxia in crustata were reported for the first time from Antarctica.</t>
  </si>
  <si>
    <t>Hiroshima Univ, Fac Sci, Miyajima Nat Bot Garden, Hiroshima 73905, Japan; Natl Inst Polar Res, Itabashi Ku, Tokyo 173, Japan</t>
  </si>
  <si>
    <t>Hiroshima University; Research Organization of Information &amp; Systems (ROIS); National Institute of Polar Research (NIPR) - Japan</t>
  </si>
  <si>
    <t>Nakano, T (corresponding author), Hiroshima Univ, Fac Sci, Miyajima Nat Bot Garden, Hiroshima 73905, Japan.</t>
  </si>
  <si>
    <t>0941-2905</t>
  </si>
  <si>
    <t>J MAR BIOTECHNOL</t>
  </si>
  <si>
    <t>J. Mar. Biotechnol.</t>
  </si>
  <si>
    <t>Biotechnology &amp; Applied Microbiology; Marine &amp; Freshwater Biology</t>
  </si>
  <si>
    <t>YW036</t>
  </si>
  <si>
    <t>WOS:000071889200009</t>
  </si>
  <si>
    <t>Douglas, SE; Gallant, JW</t>
  </si>
  <si>
    <t>Isolation of cDNAs for trypsinogen from the winter flounder, Pleuronectes americanus</t>
  </si>
  <si>
    <t>HERRING CLUPEA-HARENGUS; DIGESTIVE ENZYMES; LARVAL DEVELOPMENT; SCOPHTHALMUS-MAXIMUS; SPARUS-AURATA; TURBOT; FISH</t>
  </si>
  <si>
    <t>Knowledge of the timing of digestive enzyme expression in developing larvae is essential for evaluating the appropriateness of formulated larval diets. Since little is known at the molecular biological level about the ontogeny of digestive enzyme function in flatfish, we have isolated cDNA clones for key digestive enzymes such as trypsinogen. Portions of trypsinogen genes have been amplified from winter flounder cDNA libraries by PCR using primers based on sequence motifs conserved among trypsinogen genes from other organisms. The PCR products were sequenced, cloned, and used as radioactively labeled probes to screen the libraries. Three distinct trypsinogen cDNAs have been isolated, representing the first cDNAs for winter flounder digestive enzymes. The first type (Flounder 1) is very similar to a trypsinogen sequence reported from a related flounder, Pleuronectes platessa, The second type (Flounder 2) is related to sequences reported from Atlantic salmon, cod, and the Antarctic fish, Paranotothenia magellanica. The third type (Flounder 3) shows Limited similarity to the Antarctic fish trypsinogen sequence. All three cDNAs encode a cleavable signal sequence at the amino-terminal end, and Flounder 1 and 2 contain the characteristic acidic sequence for activation of the trypsinogen proenzyme to trypsin. Southern hybridization experiments indicate that Flounder I and 3 are single-copy genes, whereas Flounder 2 may be present in more than one copy. In addition, Flounder 2 detects homologs in a wide variety of other fish species. The sequence information will be used to establish RT-PCR assays for larval winter flounder (Pleuronectes americanus) digestive enzyme expression.</t>
  </si>
  <si>
    <t>Natl Res Council Canada, Atlantic Reg Lab, Inst Marine Biosci, Halifax, NS B3H 3Z1, Canada</t>
  </si>
  <si>
    <t>National Research Council Canada; International Business Machines (IBM)</t>
  </si>
  <si>
    <t>Douglas, SE (corresponding author), Natl Res Council Canada, Atlantic Reg Lab, Inst Marine Biosci, 1411 Oxford St, Halifax, NS B3H 3Z1, Canada.</t>
  </si>
  <si>
    <t>susan.douglas@nrc.ca</t>
  </si>
  <si>
    <t>152MH</t>
  </si>
  <si>
    <t>WOS:000077781000004</t>
  </si>
  <si>
    <t>Cueto, M; Darias, J; Rovirosa, J; San Martin, A</t>
  </si>
  <si>
    <t>Unusual polyoxygenated monoterpenes from the Antarctic alga Pantoneura plocamioides</t>
  </si>
  <si>
    <t>RED ALGA; MARINE; HORNEMANNII</t>
  </si>
  <si>
    <t>Six new polyoxygenated marine monoterpenes have been isolated from the Antarctic alga Pantoneura plocamioides. The structure and relative stereochemistry of these compounds, denominated pantopyranoids A-C (1-3), and pantoisofuranoids A-C (4-6) were determined on basis of spectroscopic evidence.</t>
  </si>
  <si>
    <t>CSIC, Inst Prod Nat &amp; Agrobiol, Tenerife 38206, Spain; Univ Chile, Fac Ciencias, Dept Quim, Santiago, Chile</t>
  </si>
  <si>
    <t>Consejo Superior de Investigaciones Cientificas (CSIC); CSIC - Instituto de Productos Naturales y Agrobiologia (IPNA); Universidad de Chile</t>
  </si>
  <si>
    <t>Darias, J (corresponding author), CSIC, Inst Prod Nat &amp; Agrobiol, Avda Astrofis F Sanchez 3,Apdo 195, Tenerife 38206, Spain.</t>
  </si>
  <si>
    <t>Cueto, Mercedes/L-3185-2014</t>
  </si>
  <si>
    <t>Cueto, Mercedes/0000-0002-9112-6877</t>
  </si>
  <si>
    <t>10.1021/np9601162</t>
  </si>
  <si>
    <t>YU540</t>
  </si>
  <si>
    <t>WOS:000071728100004</t>
  </si>
  <si>
    <t>Moon, B; Baker, BJ; McClintock, JB</t>
  </si>
  <si>
    <t>Purine and nucleoside metabolites from the Antarctic sponge Isodictya erinacea</t>
  </si>
  <si>
    <t>DENDRILLA-MEMBRANOSA; KIRKPATRICKIA-VARIALOSA; ALKALOIDS</t>
  </si>
  <si>
    <t>The bright yellow sponge Isodictya erinacea is one of several chemically defended sponges found on the benthos of McMurdo Sound, Antarctica. An investigation of the metabolites from this sponge has resulted in the isolation of purine and nucleoside metabolites, including the previously unreported erinacean (1) and p-hydroxybenzaldehyde. The latter metabolite has been demonstrated to cause a feeding deterrence behavior in Perknaster fuscus, the major predator of antarctic sponges.</t>
  </si>
  <si>
    <t>Florida Inst Technol, Dept Chem, Melbourne, FL 32901 USA; Univ Alabama Birmingham, Dept Biol, Birmingham, AL 35294 USA</t>
  </si>
  <si>
    <t>Florida Institute of Technology; University of Alabama System; University of Alabama Birmingham</t>
  </si>
  <si>
    <t>Baker, BJ (corresponding author), Florida Inst Technol, Dept Chem, Melbourne, FL 32901 USA.</t>
  </si>
  <si>
    <t>bbaker@fit.edu</t>
  </si>
  <si>
    <t>1520-6025</t>
  </si>
  <si>
    <t>10.1021/np970358h</t>
  </si>
  <si>
    <t>Science Citation Index Expanded (SCI-EXPANDED); Index Chemicus (IC)</t>
  </si>
  <si>
    <t>WOS:000071728100025</t>
  </si>
  <si>
    <t>Hodgson, DA; Wright, SW; Tyler, PA; Davies, N</t>
  </si>
  <si>
    <t>Analysis of fossil pigments from algae and bacteria in meromictic Lake Fidler, Tasmania, and its application to lake management</t>
  </si>
  <si>
    <t>fossil pigments; meromixis; Lake Fidler; Tasmania; HPLC; Mass Spectrometry; lake management; algae; bacteria</t>
  </si>
  <si>
    <t>PERFORMANCE LIQUID-CHROMATOGRAPHY; SOUTHWEST TASMANIA; PHOTOSYNTHETIC BACTERIA; MARINE-PHYTOPLANKTON; SULFIDE POOL; ECOLOGY; ENVIRONMENTS; CHLOROPHYLLS; CAROTENOIDS; WISCONSIN</t>
  </si>
  <si>
    <t>Lake Fidler is an ectogenic meromictic lake with a monimolimnion maintained by periodic incursions of brackish water from the lower Gordon River estuary. A dam across the middle reaches of the Gordon River has restricted these incursions of brackish water and meromictic stability has rapidly declined. A palaeolimnological study was carried in order to assess the historical development of meromixis and the impact of the dam on the microbiological communities in the lake. Fossil pigments in a 17 m sediment core were analysed using reverse phase high performance liquid chromatography (rp-HPLC) and mass spectrometry (MS). In addition, taphonomic studies of pigment production, deposition and degradation in the water column and surface sediments were used to identify planktonic and benthic pigment degradation processes and constrain the stratigraphic interpretation. Results comparing the pigment composition of pelagic sediment traps and littoral surface sediments indicated that the core from the centre of the lake would permit a historical reconstruction of planktonic bacterial and algal communities. Marked increases in prokaryotic pigments ca 3500 yr B.P. suggested the possible colonisation of a chemocline by phototrophic bacteria. Further changes in chlorophyll: carotenoid ratios and changes in relative abundances of both chlorophyll a and bacteriochlorophyll c derivatives also indicated that a change in the depositional environment had occurred; possibly due to altered stratification or anoxia. From this we infer the onset of either intermittent or permanent meromixis. Further increases in prokaryotic pigment abundance suggested that the present state of permanent meromixis was firmly established by 2070 +/- 50 C-14 yr B.P., and diatom analysis confirmed the development of a stable mixolimnion. High resolution studies of the top 10 cm of sediments measured pigments in mean concentrations of 15.1 ng g(-1) with a mean S.D. of only 2.78 indicating little change in pigment abundance since the construction of the dam. Thus, Lake Fidler still retains most of the features of meromixis. However, evidence from nearby Lake Morrison and Sulphide Pool has shown that any further declines in meromictic stability will cause a rapid reversion to holomixis. Palaeolimnological evidence from the early stages of meromictic development of Lake Fidler suggests that such reversion to holomixis may not permanently eliminate all the microbiological communities, and that, given time, they may return and prosper with re-establishment of a suitable chemocline. These studies will guide recommendations for a management strategy to prevent the further decay of meromixis in the Gordon River lakes.</t>
  </si>
  <si>
    <t>Univ Tasmania, Dept Plant Sci, Hobart, Tas 7001, Australia; Australian Antarctic Div, Kingston, Tas 7050, Australia; Deakin Univ, Sch Aquat Sci &amp; Nat Resources Management, Warrnambool, Vic 3280, Australia; Univ Tasmania, Cent Sci Lab, Hobart, Tas 7001, Australia</t>
  </si>
  <si>
    <t>University of Tasmania; Australian Antarctic Division; Deakin University; University of Tasmania</t>
  </si>
  <si>
    <t>Hodgson, DA (corresponding author), British Antarctic Survey, Madingley Rd, Cambridge CB3 0ET, England.</t>
  </si>
  <si>
    <t>Davies, Noel/J-7714-2014</t>
  </si>
  <si>
    <t>Davies, Noel/0000-0002-9624-0935</t>
  </si>
  <si>
    <t>10.1023/A:1007909018527</t>
  </si>
  <si>
    <t>ZH298</t>
  </si>
  <si>
    <t>WOS:000073093300001</t>
  </si>
  <si>
    <t>Doubleday, PA; Storey, BC</t>
  </si>
  <si>
    <t>Deformation history of a Mesozoic forearc basin sequence on Alexander Island, Antarctic Peninsula</t>
  </si>
  <si>
    <t>JOURNAL OF SOUTH AMERICAN EARTH SCIENCES</t>
  </si>
  <si>
    <t>WEDDELL SEA; ARC BASIN; SUBDUCTION; PACIFIC; SUPERPLUME; TRANSPORT; EVOLUTION; FLOOR; AGE</t>
  </si>
  <si>
    <t>The Mesozoic Fossil Bluff Group of Alexander Island contains trench-slope and forearc basin deposits that formed during the eastward subduction of oceanic crust beneath the Antarctic Peninsula region. The oldest rocks of the group were deposited in the Early to Middle Jurassic on the upper trench slope, with the forearc basin (sensu stricto) forming in Late Jurassic times. Deposition continued until at least Early Cretaceous (Albian) times. The Fossil Bluff Group was affected by three phases of deformation, as follows: D1 - Movement on a major fault (the LeMay Range Fault) in the accretionary complex during the Middle Jurassic. Structural evidence suggests that the fault had a strike-slip component, and that the dip-slip component varied along strike from normal to reverse. D2 - Basin inversion in the late Early Cretaceous, whilst deposition was still occurring. Fold patterns and fault movement directions indicate that inversion occurred in a dextral transpressional setting. D3 - Late Cretaceous or Tertiary post-inversion extension. This caused the opening of a linear graben, George VI Sound, in a dextral transtensional setting. Phases (1) and (3) can be most easily explained by an oblique subduction model, with SE-directed subduction causing strike-slip motion on large-scale NS trending structures in both are and forearc. Dextral transtensional structures, such as those resulting from D3, formed when the forearc was in extension; whereas in a compressional forearc setting, sinistral transpressional structures would have resulted. As basin inversion (D2) occurred by dextral transpression, it cannot be explained by the above geometric model. It is likely, therefore, that the subduction direction was different during the D2 inversion event and that it corresponded to a Pacific-wide mid-Cretaceous compressional event. The D3 transtensional event corresponded with a dramatic decrease in spreading and subduction rates in early Tertiary times. (C) 1998 Published by Elsevier Science Ltd. All rights reserved.</t>
  </si>
  <si>
    <t>Doubleday, PA (corresponding author), Amerada Hess Ltd, 33 Grosvenor Pl, London SW1X 7HY, England.</t>
  </si>
  <si>
    <t>0895-9811</t>
  </si>
  <si>
    <t>J S AM EARTH SCI</t>
  </si>
  <si>
    <t>J. South Am. Earth Sci.</t>
  </si>
  <si>
    <t>10.1016/S0895-9811(97)00032-1</t>
  </si>
  <si>
    <t>ZT734</t>
  </si>
  <si>
    <t>WOS:000074119800001</t>
  </si>
  <si>
    <t>Stanton, TK; Chu, DZ; Wiebe, PH; Martin, LV; Eastwood, RL</t>
  </si>
  <si>
    <t>Sound scattering by several zooplankton groups. I. Experimental determination of dominant scattering mechanisms</t>
  </si>
  <si>
    <t>JOURNAL OF THE ACOUSTICAL SOCIETY OF AMERICA</t>
  </si>
  <si>
    <t>ICES International Symposium on Fisheries and Plankton Acoustics</t>
  </si>
  <si>
    <t>JUN 12-16, 1995</t>
  </si>
  <si>
    <t>MARINE LAB, ABERDEEN, SCOTLAND</t>
  </si>
  <si>
    <t>MARINE LAB</t>
  </si>
  <si>
    <t>ANTARCTIC KRILL; SPHERICAL-SHELL; FISH ABUNDANCE; BACKSCATTERING; CYLINDERS; BIOMASS; ECHOES</t>
  </si>
  <si>
    <t>The acoustic scattering properties of live individual zooplankton from several gross anatomical groups have been investigated. The groups involve (1) euphausiids (Meganyctiphanes norvegica) whose bodies behave acoustically as a fluid material, (2) gastropods (Limacina retroversa) whose bodies include a hard elastic shell, and (3) siphonophores (Agalma okeni or elegans and Nanomia cara) whose bodies contain a gas inclusion (pneumatophore). The animals were collected from ocean waters off New England (Slope Water, Georges Bank, and the Gulf of Maine), The scattering properties were measured over parts or all of the frequency range 50 kHz to 1 MHz in a laboratory-style pulse-echo setup in a large tank at sea using live fresh specimens, Individual echoes as well as averages and ping-to-ping fluctuations of repeated echoes were studied, The material type of each group is shown to strongly affect both the overall echo level and pattern of the target strength versus frequency plots, In this first article of a two-part series, the dominant scattering mechanisms of the three animal types are determined principally by examining the structure of both the frequency spectra of individual broadband echoes and the compressed pulse (time series) output. Other information is also used involving the effect on overall levels due to (1) animal orientation and (2) tissue in animals having a gas inclusion (siphonophores). The results of this first paper show that (1) the euphausiids behave as weakly scattering fluid bodies and there are major contributions from at least two parts of the body to the echo (the number of contributions depends upon angle of orientation and shape), (2) the gastropods produce echoes from the front interface and possibly from a slow-traveling circumferential (Lamb) wave, and (3) the gas inclusion of the siphonophore dominates the echoes, but the tissue plays a role in the scattering and is especially important when analyzing echoes from individual animals on a ping-by-ping basis, The results of this paper serve as the basis for the development of acoustic scattering models in the companion paper [Stanton et al., J. Acoust. Sec. Am, 103, 236-253 (1998)]. (C) 1998 Acoustical Society of America.</t>
  </si>
  <si>
    <t>Woods Hole Oceanog Inst, Dept Appl Ocean Phys &amp; Engn, Woods Hole, MA 02543 USA; Woods Hole Oceanog Inst, Dept Biol, Woods Hole, MA 02543 USA</t>
  </si>
  <si>
    <t>Woods Hole Oceanographic Institution; Woods Hole Oceanographic Institution</t>
  </si>
  <si>
    <t>Stanton, TK (corresponding author), Woods Hole Oceanog Inst, Dept Appl Ocean Phys &amp; Engn, Woods Hole, MA 02543 USA.</t>
  </si>
  <si>
    <t>Chu, Dezhang/L-7004-2015</t>
  </si>
  <si>
    <t>Wiebe, Peter/0000-0002-6059-4651</t>
  </si>
  <si>
    <t>0001-4966</t>
  </si>
  <si>
    <t>J ACOUST SOC AM</t>
  </si>
  <si>
    <t>J. Acoust. Soc. Am.</t>
  </si>
  <si>
    <t>10.1121/1.421469</t>
  </si>
  <si>
    <t>Acoustics; Audiology &amp; Speech-Language Pathology</t>
  </si>
  <si>
    <t>YR454</t>
  </si>
  <si>
    <t>WOS:000071496900021</t>
  </si>
  <si>
    <t>Stanton, TK; Chu, DZ; Wiebe, PH</t>
  </si>
  <si>
    <t>Sound scattering by several zooplankton groups. II. Scattering models</t>
  </si>
  <si>
    <t>ELONGATED ELASTIC OBJECTS; ACOUSTIC SCATTERING; EUPHAUSIA-SUPERBA; ANTARCTIC KRILL; SPHERICAL-SHELL; ARBITRARY SHAPE; FLUID CYLINDERS; FINITE LENGTH; BACKSCATTERING; BODIES</t>
  </si>
  <si>
    <t>Mathematical scattering models are derived and compared with data from zooplankton from several gross anatomical groups-fluidlike, elastic shelled, and gas bearing. The models are based upon the acoustically inferred boundary conditions determined from laboratory backscattering data presented in part I of this series [Stanton er al., J. Acoust. Sec. Am. 103, 225-235 (1998)]. The models use a combination of ray theory, modal-series solution, and distorted wave Born approximation (DWBA). The formulations. which are inherently approximate, are designed to include only the dominant scattering mechanisms as determined from the experiments. The models for the: fluidlike animals (euphausiids in this case)ranged from the simplest case involving two rays, which could qualitatively describe the structure of target strength versus frequency for single pings, to the most complex case involving a rough inhomogeneous asymmetrically tapered bent cylinder using the DWBA-based formulation which could predict echo levels over all angles of incidence (including the difficult region of end-on incidence). The model for the elastic shelled body (gastropods in this case) involved development of an analytical model which takes into account irregularities and discontinuities of the shell. The model for gas-bearing animals (siphonophores) is a hybrid model which is composed of the summation of the exact solution to the gas sphere and the approximate DWBA-based formulation for arbitrarily shaped fluidlike bodies. Then is also a simplified ray-based model for the siphonophore. The models are applied to data involving single pings, ping-to-ping variability, and echoes averaged over many pings. There is reasonable qualitative agreement between the predictions and single ping data, and reasonable quantitative agreement between the predictions and variability and averages of echo data. (C) 1998 Acoustical Society of America.</t>
  </si>
  <si>
    <t>ACOUSTICAL SOC AMER AMER INST PHYSICS</t>
  </si>
  <si>
    <t>STE 1 NO 1, 2 HUNTINGTON QUADRANGLE, MELVILLE, NY 11747-4502 USA</t>
  </si>
  <si>
    <t>10.1121/1.421110</t>
  </si>
  <si>
    <t>WOS:000071496900022</t>
  </si>
  <si>
    <t>Stanton, TK; Wiebe, PH; Chu, DZ</t>
  </si>
  <si>
    <t>Differences between sound scattering by weakly scattering spheres and finite-length cylinders with applications to sound scattering by zooplankton</t>
  </si>
  <si>
    <t>TARGET STRENGTH; ANTARCTIC KRILL; EUPHAUSIA-SUPERBA; FLUID CYLINDERS; ORIENTATION; BODIES; FIELD; KHZ</t>
  </si>
  <si>
    <t>A modeling study was conducted to determine the conditions under which fluidlike zooplankton of the same volume but different shapes (spherical/cylindrical) have similar or dramatically different scattering properties. Models of sound scattering by weakly scattering spheres and cylinders of finite length used in this analysis were either taken from other papers or derived and herein adapted for direct comparison over a range of conditions. The models were examined in the very low- (ka much less than 1, kL much less than 1), moderately low-(ka much less than 1, kL greater than or similar to 1), and high-frequency regions (ka much greater than 1, kL much greater than 1), where ii is the acoustic wave number, a is the radius (spherical or cylindrical) of the body, and L is the length of the cylinders (for an elongated body with L/a = 10, moderately low corresponds to the range 0.1 less than or similar to ka less than or similar to 0.5). Straight and bent cylinder models were evaluated for broadside incidence, end-on incidence, and averages over various distributions of angle of orientation, The results show that for very low frequencies and for certain distributions of orientation angles at high frequencies, the averaged scattering by cylinders will be similar, if not identical, to the scattering tay spheres of the same volume. Other orientation distributions of the cylinders at high frequencies produce markedly different results. Furthermore, over a wide range of orientation distributions the scattering by spheres is dramatically different from that of the cylinders in the moderately low-frequency region and in the Rayleigh/geometric transition region: (1) the Rayleigh to geometric scattering turning point occurs at different points for the two cases when the bodies are constrained to have the same volume and (2) the functional dependence of the scattering levels upon the volume of the bodies in the moderately low-frequency region is quite often different between the spheres and cylinders because of the fact that the scattering by the cylinders is still directional in this region. The study demonstrates that then are indeed conditions under which different shaped zooplankton of the same volume will yield similar (ensemble average) scattering levels, but generally the shape and orientation distribution of the elongated bodies must be taken into account for accurate predictions. (C) 1998 Acoustical Society of America.</t>
  </si>
  <si>
    <t>10.1121/1.421135</t>
  </si>
  <si>
    <t>WOS:000071496900023</t>
  </si>
  <si>
    <t>Curtis, ML; Hyam, DM</t>
  </si>
  <si>
    <t>Late Palaeozoic to Mesozoic structural evolution of the Falkland Islands: a displaced segment of the Cape Fold Belt</t>
  </si>
  <si>
    <t>Falkland Islands; structural geology; Gondwana</t>
  </si>
  <si>
    <t>PALEOGEOGRAPHY; GONDWANALAND</t>
  </si>
  <si>
    <t>The Falkland Islands lie on a displaced crustal block presently forming part of the South American plate. The islands possess two roughly orthogonal structural grains, the relative chronology of which is here unequivocally established for the first time. D1 structures form a southerly verging, Permo-Triassic age fold belt, striking E-W to WNW-ESE, which represents a displaced segment of the Gondwanian orogenic belt. The strike swing from E-W to WNW-ESE is coincident with a decrease in deformation intensity toward the west. On West Falkland, D1 folds are superimposed by the early Mesozoic D2, NE-SW-trending, Hornby Mountains anticline, producing localized kilometre-scale Type I and III fold interference patterns. The Hornby Mountains anticline is interpreted to be the result of dextral transpressive reactivation of a pre-existing NE-SW basement fault. If the Falkland Islands are rotated 180 degrees, the structure of the D1 fold bell, and tectono-sedimentary features of the Permian age Lafonian Supergroup, display a remarkable correlation with the structural style and tectonic evolution of the eastern Cape Fold Belt of South Africa. Our data, therefore support a 180 degrees tectonic rotation of the Falkland Islands and reaffirm their pre-Gondwana break-up position adjacent to the southeast coast of South Africa. In such a reconstruction the Falkland Islands constrain the easterly extension and eventual lateral termination of the Cape Fold Belt.</t>
  </si>
  <si>
    <t>British Antarctic Survey, NERC, Cambridge CB3 0ET, England; Univ Southampton, Southampton Oceanog Ctr, Dept Geol, Southampton SO14 3ZH, Hants, England</t>
  </si>
  <si>
    <t>UK Research &amp; Innovation (UKRI); Natural Environment Research Council (NERC); NERC British Antarctic Survey; University of Southampton; NERC National Oceanography Centre</t>
  </si>
  <si>
    <t>Curtis, ML (corresponding author), British Antarctic Survey, NERC, High Cross,Madingley Rd, Cambridge CB3 0ET, England.</t>
  </si>
  <si>
    <t>Curtis, Mike/HKV-6176-2023</t>
  </si>
  <si>
    <t>10.1144/gsjgs.155.1.0115</t>
  </si>
  <si>
    <t>YT361</t>
  </si>
  <si>
    <t>WOS:000071594500010</t>
  </si>
  <si>
    <t>Aristarain, AJ; Delmas, RJ</t>
  </si>
  <si>
    <t>Ice record of a large eruption of Deception Island Volcano (Antarctica) in the XVIITH century</t>
  </si>
  <si>
    <t>JOURNAL OF VOLCANOLOGY AND GEOTHERMAL RESEARCH</t>
  </si>
  <si>
    <t>ice cores; volcanic ash; paleovolcanism; Antarctic Peninsula; Deception Island volcano</t>
  </si>
  <si>
    <t>EXPLOSIVE VOLCANISM; PENINSULA CLIMATE; ISOTOPE RECORD; CORES; SHEET; SNOW</t>
  </si>
  <si>
    <t>A well-marked volcanic ash layer was found at 145.9 m depth in a 154.3 m ice core recovered in 1981 on James Ross Island, Antarctic Peninsula. Ash composition analysis indicates that we are dealing with an eruption of the Deception Island volcano located some 200 km northwestward from James Ross Island. Regional lake sediments seem also to have recorded the eruption. Its date (some 350 years ago) has been determined precisely by comparison with a well-dated South Pole Station ice core. The strength and regional to global impact of the event are discussed. It is concluded it was most probably the largest eruption of this volcano over the studied time period. This exceptional layer was used to adjust the dating of the core. (C) 1998 Elsevier Science B.V.</t>
  </si>
  <si>
    <t>Inst Antartico Argentino, LEGAN, Lab Estratigr Glaciar &amp; Geoquim Agua &amp; Nieve, RA-5500 Mendoza, Argentina; CRICYT, Consejo Nacl Invest Cient &amp; Tecn, RA-5500 Mendoza, Argentina; CNRS, Lab Glaciol &amp; Geophys Environm, F-38402 St Martin Dheres, France</t>
  </si>
  <si>
    <t>Instituto Antartico Argentino; Consejo Nacional de Investigaciones Cientificas y Tecnicas (CONICET); Centre National de la Recherche Scientifique (CNRS)</t>
  </si>
  <si>
    <t>Inst Antartico Argentino, LEGAN, Lab Estratigr Glaciar &amp; Geoquim Agua &amp; Nieve, Casilla Correo 131, RA-5500 Mendoza, Argentina.</t>
  </si>
  <si>
    <t>aristar@cpsarg.com</t>
  </si>
  <si>
    <t>0377-0273</t>
  </si>
  <si>
    <t>1872-6097</t>
  </si>
  <si>
    <t>J VOLCANOL GEOTH RES</t>
  </si>
  <si>
    <t>J. Volcanol. Geotherm. Res.</t>
  </si>
  <si>
    <t>10.1016/S0377-0273(97)00040-1</t>
  </si>
  <si>
    <t>ZH663</t>
  </si>
  <si>
    <t>WOS:000073134700002</t>
  </si>
  <si>
    <t>Geiger, FM; Hicks, JM</t>
  </si>
  <si>
    <t>Dai, HL; Freund, HJ</t>
  </si>
  <si>
    <t>Stratospheric ozone chemistry on ice surfaces</t>
  </si>
  <si>
    <t>LASER TECHNIQUES FOR SURFACE SCIENCE III</t>
  </si>
  <si>
    <t>Conference on Laser Techniques for Surface Science III</t>
  </si>
  <si>
    <t>JAN 29-31, 1998</t>
  </si>
  <si>
    <t>SAN JOSE, CA</t>
  </si>
  <si>
    <t>second harmonic generation; ice; adsorption; reaction; desorption; vacuum techniques; stratospheric ozone depletion</t>
  </si>
  <si>
    <t>Surface second harmonic generation (SHG) allows detailed molecular measurements on a surface previously difficult to study: the ice/vacuum interface in equilibrium with its vapor. The heterogeneous reaction ClONO2 + H2O --&gt; HOCl + HNO3, a key reaction in ozone-depletion mechanisms in the Antarctic stratosphere, was followed on the basal ice surface maintained under stratospheric conditions (185K, 10(-4) Torr water). SHG signals characteristic of the product HOCl allow us to determine reaction kinetics at various ClONO2 exposures and temperatures and in the presence of co;adsorbates. We find that the reaction is autocatalytic In HOCl.</t>
  </si>
  <si>
    <t>Geiger, FM (corresponding author), Georgetown Univ, Dept Chem, Washington, DC 20057 USA.</t>
  </si>
  <si>
    <t>Geiger, Franz M./C-6950-2013</t>
  </si>
  <si>
    <t>0-8194-2711-X</t>
  </si>
  <si>
    <t>10.1117/12.307115</t>
  </si>
  <si>
    <t>Chemistry, Physical; Optics; Spectroscopy</t>
  </si>
  <si>
    <t>Chemistry; Optics; Spectroscopy</t>
  </si>
  <si>
    <t>BL12X</t>
  </si>
  <si>
    <t>WOS:000074381100036</t>
  </si>
  <si>
    <t>Horneck, G; Brack, A; Devincenzi, DL; Fogg, MJ; Banin, A; Klein, HP; Masson, P</t>
  </si>
  <si>
    <t>Antarctic ice sheet as a model in search of life on other planets</t>
  </si>
  <si>
    <t>LIFE SCIENCES: EXOBIOLOGY</t>
  </si>
  <si>
    <t>F3 1, F3 3, F3 4 and F3 5 Symposia of COSPAR Scientific Commission F on Life Sciences - Exobiology at the 31st COSPAR Scientific Assembly</t>
  </si>
  <si>
    <t>RECORD</t>
  </si>
  <si>
    <t>This paper concerns the problem of search of life on other planets due to similarities of some conditions in polar ice caps of Earth and Mars, Viable microbes were isolated from layers of the Antarctic ice sheet that dates back about 200 000 years. Their morphological variability and gradual restoration of some physiological functions in favourable conditions were described, The relation of microbes distribution at different horizons of ice to considerable fluctuations of Earths climate in ancient geological epochs was revealed. Those fluctuations of climate brought to the Sharp variations of intensity of microparticles and microbes transfer with intercontinental aerial streams to polar caps of neighbouring planets. (C) 1998 COSPAR. Published by Elsevier Science Ltd.</t>
  </si>
  <si>
    <t>Russian Acad Sci, Inst Microbiol, Moscow 117811, Russia; Arctic &amp; Antarctic Res Inst, St Petersburg 199226, Russia; St Petersburg Min Inst, St Petersburg 199026, Russia</t>
  </si>
  <si>
    <t>Research Center of Biotechnology RAS; Russian Academy of Sciences; Arctic &amp; Antarctic Research Institute; Saint Petersburg Mining University</t>
  </si>
  <si>
    <t>0-08-043467-3</t>
  </si>
  <si>
    <t>10.1016/S0273-1177(98)00194-X</t>
  </si>
  <si>
    <t>Engineering, Aerospace; Astronomy &amp; Astrophysics; Biology; Geosciences, Multidisciplinary; Meteorology &amp; Atmospheric Sciences</t>
  </si>
  <si>
    <t>Engineering; Astronomy &amp; Astrophysics; Life Sciences &amp; Biomedicine - Other Topics; Geology; Meteorology &amp; Atmospheric Sciences</t>
  </si>
  <si>
    <t>BL44X</t>
  </si>
  <si>
    <t>WOS:000075554600007</t>
  </si>
  <si>
    <t>Moline, MA</t>
  </si>
  <si>
    <t>Photoadaptive response during the development of a coastal Antarctic diatom bloom and relationship to water column stability</t>
  </si>
  <si>
    <t>LIMNOLOGY AND OCEANOGRAPHY</t>
  </si>
  <si>
    <t>XANTHOPHYLL-CYCLE; PRIMARY PRODUCTIVITY; SOUTHERN-OCEAN; PHYTOPLANKTON BIOMASS; MARINE-PHYTOPLANKTON; CARBON-DIOXIDE; ROSS SEA; PHOTOSYNTHESIS; TEMPERATURE; BACILLARIOPHYCEAE</t>
  </si>
  <si>
    <t>The ratio of the xanthophyll pigments diadinoxanthin and diatoxanthin to chlorophyll a [(DD + DT):Chl a] was used as a photoadaptive index during the development of a large Antarctic diatom bloom. This index was found to track fluctuations in the incident solar irradiance and the in situ light field over a 3-order-magnitude change in the water column biomass. Depth profiles of the (DD + DT): Chi a ratio show that the upper mixed layer, assessed by physical data, was in fact stable over the course of the month. Diel experiments conducted over the same period showed a delayed (5-8 h) response of the DD + DT pool to the instantaneous Q(par) (400-700 nm) irradiance. These time-series results illustrate the potential use of xanthophyll pigments in assessing phytoplankton light histories and the degree of water column stability.</t>
  </si>
  <si>
    <t>Calif Polytech State Univ San Luis Obispo, Dept Biol Sci, San Luis Obispo, CA 93407 USA</t>
  </si>
  <si>
    <t>California State University System; California Polytechnic State University San Luis Obispo</t>
  </si>
  <si>
    <t>Moline, MA (corresponding author), Calif Polytech State Univ San Luis Obispo, Dept Biol Sci, San Luis Obispo, CA 93407 USA.</t>
  </si>
  <si>
    <t>AMER SOC LIMNOLOGY OCEANOGRAPHY</t>
  </si>
  <si>
    <t>WACO</t>
  </si>
  <si>
    <t>5400 BOSQUE BLVD, STE 680, WACO, TX 76710-4446 USA</t>
  </si>
  <si>
    <t>0024-3590</t>
  </si>
  <si>
    <t>LIMNOL OCEANOGR</t>
  </si>
  <si>
    <t>Limnol. Oceanogr.</t>
  </si>
  <si>
    <t>10.4319/lo.1998.43.1.0146</t>
  </si>
  <si>
    <t>Limnology; Oceanography</t>
  </si>
  <si>
    <t>ZN894</t>
  </si>
  <si>
    <t>WOS:000073694200018</t>
  </si>
  <si>
    <t>Liu, RY</t>
  </si>
  <si>
    <t>Xu, RL; Lui, ATY</t>
  </si>
  <si>
    <t>Present and future research program in solar-terrestrial physics at Zhongshan, Antarctica</t>
  </si>
  <si>
    <t>MAGNETOSPHERIC RESEARCH WITH ADVANCED TECHNIQUES</t>
  </si>
  <si>
    <t>COSPAR COLLOQUIA SERIES</t>
  </si>
  <si>
    <t>9th COSPAR Colloquium</t>
  </si>
  <si>
    <t>APR 15-19, 1996</t>
  </si>
  <si>
    <t>BEIJING, PEOPLES R CHINA</t>
  </si>
  <si>
    <t>Zhongshan Station has an ideal location for ground-based measurements in studying important problems related to solar-terrestrial physics. The observations at Zhongshan Station include solar radiation, magnetic field variations, aurora data, ionospheric monitoring, middle and low atmospheric measurements and radio propagation. The present and future research include the program of global character research of solar-terrestrial system in the Antarctic, polar ionosphere-magnetosphere coupling and auroral dynamics as well as two international collaborative studies.</t>
  </si>
  <si>
    <t>Polar Res Inst China, Shanghai 200129, Peoples R China</t>
  </si>
  <si>
    <t>Polar Research Institute of China</t>
  </si>
  <si>
    <t>Liu, RY (corresponding author), Polar Res Inst China, 451 Jinqiao Rd, Shanghai 200129, Peoples R China.</t>
  </si>
  <si>
    <t>0-08-043330-8</t>
  </si>
  <si>
    <t>COSPAR COLL</t>
  </si>
  <si>
    <t>Astronomy &amp; Astrophysics; Geochemistry &amp; Geophysics; Meteorology &amp; Atmospheric Sciences</t>
  </si>
  <si>
    <t>BM01J</t>
  </si>
  <si>
    <t>WOS:000077416500004</t>
  </si>
  <si>
    <t>Villarroel, M; Stuardo, J</t>
  </si>
  <si>
    <t>Protobranchia (mollusca: Bivalvia) of recent distribution in Chile and some fossils</t>
  </si>
  <si>
    <t>MALACOLOGIA</t>
  </si>
  <si>
    <t>Spanish</t>
  </si>
  <si>
    <t>SULFIDE-RICH HABITATS; YOLDIA-EIGHTSI; SIGNY ISLAND; EVOLUTION; ANTARCTICA; GROWTH</t>
  </si>
  <si>
    <t>The classification of the subclass Protobranchia followed here considers the families Nuculidae, Nuculanidae, Siliculidae, Sareptidae, Malletiidae, and Tindariidae in the order Nuculoida, and the family Acharacidae in the order Solemyoida. We also follow the separatation of Malletiidae from Nuculanidae, further justifying it on anatomical grounds. Fifteen protobranch species of Recent distribution in continental Chile, five Antarctic, and seven fossil species were studied. Out of a total of 35 species cited for the coast of Chile and Graham Land in Antarctica, only the following 27 are here accepted as valid: Nucula austrobenthalis Dell, 1990: Nucula (Nucula) falklandica Preston, 1912; Nucula (Nucula) fernandensis Villarroel, 1971; Nucula (Nucula) interflucta Marincovich, 1973; Nucula (Nucula) pisum Sowerby I, 1833; Ennucula eltanini Dell, 1990; Ennucula grayi (d'Orbigny, 1846); Ennucula puelcha (d'Orbigny, 1842); Nuculana (Saccella) cuneata (Sowerby I, 1833); Nuculana (Borissia) inaequisculpta (Lamy, 1906): Propeleda longicaudata Thiele, 1912; Tindariopsis sulculata (Gould, 1852); Silicula patagonica Dall, 1908; Silicula rouchi Lamy, 1911; Yoldia (Aequiyoldia) eightsi (Jay, 1839); Yoldiella chilenica (Dall, 1908); Yoldiella ecaudata (Pelseneer, 1903); Yoldiella granula (Dall, 1908); Yoldiella indolens (Dall, 1908); Malletia chilensis des Moulins, 1832; Malletia magellanica Smith, 1875; Malletia patagonica Mabille &amp; Rochebrune, 1889; Malletia inaequalis Dall, 1908; Malletiella sorror Soot Ryen, 1959; Tindaria virens(Dall, 1890); Tindaria salaria Dall, 1908; and Acharax macrodactyla (Mabille &amp; Rochebrune, 1889). Nucula (N.) pseudoexigua Villarroel &amp; Stuardo, a new species from the Strait of Magellan is described. The Antarctic species Propeleda longicaudata Thiele, 1912, is reported for the first time from the Strait of Magellan. A diagnosis for every taxonomic category and a detailed description for every species are given, including the shell features traditionally utilized, as well as the soft parts. Most features having so far been studied only on a few species of the subclass, allow a comparative analysis with the Chilean representatives, summarized as follows. (1) Size varies within the different families. Living nuculids are in general smaller than nuculanaceans and solemyaceans. The largest size found in the Chilean Nuculidae reaches 20.6 mm length in Ennucula grayi, whereas among Nuculanidae and Malletiidae, a maximum measured length of 51.0 mm was found in Malletia chilensis. A Chilean fossil of this genus measured 60 mm. (2) The studied species fall within the three known basic forms: nuculoid, nuculanoid, and solemyoid (Fig. 61). (3) No comprehensive study of hinge tendencies within each family has been attempted; such study would possibly permit to examine affinities and divergencies at lower taxonomic ranks. (4) The study of the ligament in specific taxa should be used to test the validity of prevailing models and interpretations. So far, the study of the ligament in Nuculidae and Nuculanidae has followed Owen's (1959) interpretation of an external or lamellar layer connected with the mantle margins, and another internal, fibrous layer connected to the isthmus of the mantle. A resilifer or chondrophore interrupts the two teeth series, and is directed anteriorly in Nucula and Ennucula (Fig. 3A, cdr), is more or less straight in Yoldia (Fig. 129), and is directed posteriorly in Nuculana (Fig. 3). Previously, Stempell (1898a) demonstrated that the ligament in Malletia can be divided in anterior, central and posterior parts, the central part corresponding to the resilium (inner layer of the ligament), and the anterior and posterior parts with an external origin. Thus, such similar differentiation in Nuculidae, Nuculanidae and Malletiidae, suggested that the resilium of internal position in Nucula and Nuculana, had migrated to become external in Malletiidae, without dissapearing. An intermediate stage in its position is observed in Tindariopsis, as was shown by Stempell (1898a). Relevance is given to the novel and most stimulating interpretation on the evolution of the ligament in the bivalves advanced by Waller (1990). He questions the traditional model of an amphidetic primary ligament of three layers, and proposes a protobranch stem group from which two major types of ligament for the bivalves evolved. (5) Variation in number and size of hinge teeth does not allow to use them as taxonomic features of generic or suprageneric value, but size and form may sometimes offer specific taxonomic value, as noted by Knudsen (1970) and Villarroel (1971). (6) The palps are very similar in the Nuculacea and Nuculanacea, but their homology with the Solemyidae is not well known. The palps in Solemya are not interpreted as doubled palps appendixes of other protobranchs; the palps sheets would be reduced to simple ridges (Fig. 11) in the edge of the furrow that joins the mouth with the appendixes (Figs. 15-17)(Ridewood, 1903; Morse, 1913; Yonge, 1939; Reid, 1980). The appendix or palp tentacle on the external sheet of every palp considered by Drew (1901) be equivalent of a pair of hypertrophiated fold (Figs. 10, 12, other figs., tp) differ in position according to family (Fig. 61). In the Nuculanacea, the palp appendix is located on the terminal portion of the external palp sheet (e.g., Fig. 5, Silicula rouchi; Fig. 77, Nuculana (S.) cuneata; Fig. 90, Nuculana (B.) inaequisculpta). In the Nuculidae, the palp appendix is displaced to the end, because behind it there is an additional, non-extensible structure termed the palp caecum, which represents a pair of hypertrophiated folds (Stasek, 1965). The proximal end of the palp appendix is linked with the surface of the palp external sheets and the palp caecum (Fig. 10, bp); its musculature is fused with the posterior foot retractor. Stasek's (1961) observation of this feature in Acila was corroborated, without exception, in every species studied. Nevertheless, in almost all the cases, the appendix was found in different degrees of contraction, preventing recognition of specific differences (Figs. 4 and 62, 74 and 76, tp). (7) In a general comparative analysis, the value of the soft parts in the differentiation of the higher categories within the subclass, is corroborated; however, due to the limited available knowledge of many internal structures and the few studied species, their taxonomic role at the specific level cannot be always ascertained. On the other hand, the complexity observed in some of the internal morphological parts permitted us to set forth complementary interpretations on their possible phylogenetic value, particularly in the case of the stomach, the position of the heart, and the configuration of the various types of siphons. Although stomach morphology has been described for species of Nucula, Nuculana and Malletia, a comparison became necessary, resulting in the identification of a new caecum and changes in the interpretation of the features observed by previous authors. In fact, its study in the available species allowed the conclusion that there is not one basic type or Gastroproteia, as proposed by Purchon (1956, 1959), but three. These are: Type Ia. Common to the genera Nucula and Ennucula and characterized by several (three or four) ciliary sorting areas and a wide extension of the typhlosole (Figs. 18-32, 60). Type Ib. Common to the genera of Nuculanidae and Malletiidae and characterized by three ciliary sorting areas and a small extension of the minor typhlosole (Figs. 33-56, 60). Type Ic. Common to the genera of Solemyidae and Nucinellidae and characterized by the absence of distinct sorting areas and lack of typhlosoles. It is not difficult to differentiate the internal and external features recognized in the stomach of Nuculacea and Nuculanacea. The dorsal hood is smaller in Nuculanacea than in Nuculacea, and the three ducts that communicate the stomach with the digestive diverticula are also different in these two superfamilies (Figs. 18-56, 60). Similar differences were found in the cillary sorting areas and the number of folds. For instance, the three additional sorting areas as(1), as(2) and as(3) described by Purchon (1956), although not present in all species, can also be used in interspecific differentiation. Thus, the first one was found only in Nucula (Nucula) pisum (Fig. 21) and Ennucula puelcha (Figs. 29-31), but not in the other studied species of these genera; the second sorting area was found presenting different sizes in Nucula (Nucula) pisum, Nucula (Nucula) fernandensis, and Ennucula puelcha, being largest in the latter. The third above named sorting area was not observed in the studied Nuculacea, and none were found in the studied Nuculanacea. Such differences do not back Purchon's (1987b) generalization that one description can embody all of them (Fig. 60). Undoubtedly, the complexity of the gastric shield with its biggest modification in Propeleda and Malletia is larger in Nuculanacea than in Nuculidae and Solemyidae, but presently it is difficult to establish generic or specific differences. On the other hand, folding of the typhlosoles entering the style-sac has shown specific constancy in the studied species of Nucula and Ennucula. Development of the typhlosoles in Nuculanacea shows a different pattern. (8) Attention has also been given to the number of loops observed in the gastric and medium intestine with a pattern of coiling, which according to Heath (1937) is specific, with minimal intraspecific variation as observed in Nucula (Nucula) pisum and Nucula (Nucula) pseudoexigua (Figs. 63-67). It begins on the side of the stomach and continues anteriorly in some species almost reaching the mouth. It turns then dorsally to the esophagus and continues posteriorly above the stomach, or continues ventrally to form the coils prior to its final turn backwards. Heath (1937) was the first to demonstrate that in Nuculacea the intestine does not extend forwards as much as in Nuculanacea. He associated the species of Nucula and Acila with life in shallow water in the case of simple coiling and life in deep water in the case of complex coiling. However, the many coils in the Chilean species of Nucula and Ennucula is not associated with depth, and a high degree of coiling was also described by Knudsen (1970) in various abyssal species of Nucula, Ennucula and Brevinucula. He, furthermore, found a large number of coils in species of Nuculanidae-species of Spinula with 1, 6 and 7 coils; species of Ledella with 1, 4 and 5 coils; and Phaseolus with two. Thus, there seem to be two tendencies within the nuculanids: one with a high number of coils in the above-named genera, and another with only one coil in Nuculana, Propeleda, Yoldia and Yoldiella. The species of the genera Neilonella, Tindaria, Tindariopsis and Malletia always have only one coil and show no variation with depth. Schileyko (1989) observed that the number of coils is associated to the quality of the nutrients rather than the depth. This observation explains why Nucula (N.) fernandensis, collected at shallow depth in a sandy sustratum had a large number of coils. Schileyko (1989) proposed six tendencies in the pattern of coils. Although there is no clear functional relationship between number of coils and life habits, there seems to be a clear association between coiling and shell volume for species of some genera. Such a relationship is observed in short but inflated species of Nucula, Ennucula, Spinula and Ledella, all of which have an intestine with more than 3 or 4 coils. On the other hand, species of genera with a flat, elongate shape, such as Malletia, have almost always only one coil. Exceptions of inflated species with only one coil within the genus Nuculana may be explained by the anterior position of the intestine, typical of nuculanaceans. (9) The phylogenetic value of the relationship between position of the heart and rectum suggested by Pelseneer (1888, 1911) for the bivalves, seems to be applicable to the evolution of the Protobranchia, as well. In fact, species of Nuculidae, recognized as the more primitive family, have a heart located dorsal to the rectum (Nucula, Ennucula) or surrounding it (Nucula proxima), whereas in more specialized families of Nuculanacea, the heart may be found surrounding the rectum (Nuculanidae) or located underneath (Malletiidae) (Figs. 58, 59). Thus, the studied species of Nuculana, Propeleda, Silicula, Yoldiella and Yoldia had without exception a heart surrounding the rectum (Figs. 76, 78, 85, 89). In the species of Malletia, Tindaria, and Tindariopsis, the heart can be positioned ventral to the rectum (Malletia chilensis and Tindaria virens; Figs. 92, 95) or surrounding it (Malletia patagonica and Tindariopsis sulculata; Figs. 81, 82). According to Owen (1959; fig. 7) in Solemya the heart surrounds the rectum. (10) The structure of the siphons in the Nuculanacea seems to indicate clearly differentiated morphological adaptations. Yonge (1939, 1957), based on species of Nuculanidae and Malletiidae, recognized three different types of fusion for the walls of the siphonal tubes correlated with length (Fig. 57a-c): (a) with both siphons fused by tissue; (b) with the exhalant siphon closed, and ciliary junctions completing the inhalant siphon; and (c) with ciliary junctions completing both siphons. Our study of the Chilean species and the information provided by Knudsen (1970), Filatova &amp; Schileyko (1985), and Alien (1985), allow us to propose the following five additional types (Fig. 57 d-h): (d) siphons united dorsally and ventrally only by ciliary junctions; (e) Exhalant siphon open dorsally and ventrally; with or without a variable number of tentacles or papillae along the margin of the mantle corresponding to the inhalant siphon; (f) with exhalant siphon only, closed ventrally; mantle margins corresponding to the inhalant siphon serrated; (g) Exhalant siphon only partially separated from the inhalant one; and (h) Siphons only dorsally united. To study the precise type of union, examination of several specimens was required; however, it was often difficult to differentiate a close ciliary junction from a tissular one, and we risk possible confusion in some cases. In fact, we agree with Drew (1899), Pelseneer (1911), and Heath (1937) in that a fusion by tissue, due to its ontogenetic origin, keeps a line of fusion indicated by a medial ventral line which breaks easily when pressed by a dissecting instrument. For species not examined by us, we trusted the descriptions. Coupling our observations with those by Knudsen (1970),Alien (1963), Allen &amp; Sanders (1973, 1982), and Sanders &amp; Alien (1977), we are permitted to establish the following relationships among the genera of Nuculanacea (genera in parenthesis indicate that description of the siphons is not sufficiently detailed to be certain of the type of union): Fusion of type a. Observed in species of Malletia, Yoldia, Yoldiella, (Spinula ?), (Ledella), Jupiteria, Lembulus, and Nuculana. Fusion of type b. Observed in species of Yoldia, Yoldiella, (Spinula ?), (Ledella), and Nuculana. Fusion of type b. Observed in species of Yoldia, Yoldiella, (Spinula ?), (Ledella), and Nuculana. Fusion of type c. Observed in species of Neilonella, Malletia, Nuculana, (Phaseolus), Tindariopsis, and Propeleda; however, in this last genus the ventral borders are divergent. Fusion of type d. Observed in species of Neilonella and Tindaria. Fusion of type e. Observed in species of Sarepta. Fusion of type f. Observed in species of Tindaria. Fusion of siphons in Nuculanacea does not follow definite evolutionary lines, and to understand their adaptive significance will require both ecological and functional studies. Pelseneer (1911) noticed the presence of the siphonal tentacle generally on the left in species of Yoldia and Nuculana. Stempell (1899) found it indistinctly on one side or the other in Yoldiella ecaudata, but mainly on the right side in Malletia chilensis, Yonge (1939) located it in general mainly to the right, but in the species here studied it was indistinctly found on one side or the other; the same was observed by Knudsen (1970) in abyssal and hadal species. (11) Regarding geographic distribution, the study of the Chilean protobranchs has demonstrated that the extraordinary wide distribution recorded for some species is doubtful, and this is probably also the case of species from other geographic regions with purported very wide distribution. For instance, the identification of species of Nucula in Chile with a wide interregional distribution may be erroneous, as we have established for Nucula exigua Sowerby I, 1833; Nucula carlottensis Dall, 1897; Nucula declivis Hinds, 1843; Ennucula colombiana (Dall, 1908); and Nuculana callimene (Dall, 1908). In other cases, the distribution may appear wide due to a wrong synonymy as in the case of Malletia chilensis, mistakingly recorded up to Magellan. Table 2 indicates the existence of two faunistic groups of Protobranchia (also acknowledged for bivalves in general by Woodward, 1851-1856; Soot-Ryen, 1959; Stuardo, 1964, 1988), with a limited overlapping of species. In fact, only the species Nucula (Nucula) pisum, Ennucula grayi, and Ennucula puelcha present a wider distribution within the two recognized Provinces, whereas Malletia chilensis and Tindariopsis sulculata cover limits that may be considered transitional zones. This table also helps to demonstrate possible interspecific relationships. For instance, morphological affinities among Nucula (Nucula) pisum, N. (N.) fernandensis, N. (N.) interflucta, and N. (N.) falklandica seem to be the result of allopatric radiation, the first being the stem from which the other two radiated. The fossil record of N. (N.) pisum supports this conclusion (Philippi, 1887). Ennucula grayi and E. puelcha seem to be sympatric species, or may correspond to only one. (12) Little is known of the ecology of the Chilean species, as they have been studied in some detail only in two places in central Chile: Bahia Concepcion (this study) and Bahia Valparaiso (Ramorino, 1968). Three species are present at Bahia Concepcion: Nucula (Nucula) pisum, Nuculana (Saccella) cuneata, and Malletia chilensis. The first two were found living mainly in sandy-mud, whereas Malletia usually lives in mud, difference that agree with Ramorino's observations (1968) at the Bahia Valparaiso. Ennucula grayi, which lives at Valparaiso, is not found at the Bahia Concepcion, probably due to the seasonal environmental variations in temperature, salinity and oxygen (Ahumada &amp; Chuecas, 1979). Abundance of the three reported species is neither comparable to the values reported for Valparaiso, as discussed in the taxonomic part under each species. (13) Regarding distribution in depth, all the species listed in Table 2 have an extended range of bathymetric distribution, as is well known for the group; however, following the bathymetric division of the oceans (Hedgpeth, 1957), there is only one intertidal species: Nucula (N.) interflucta, from Iquique, and only one abyssal species: Tindaria salaria collected off Isles Salas y Gomez. All the other are sublittoral or sublittoral-bathyal species. In general, the sublitoral contains the better known Chilean fauna of protobranchs; the abyssal fauna and that of the oceanic islands remain to be collected and studied. (14) The Chilean fossil protobranchs have not been recently reviewed, and their taxonomic status is rather poorly known. However, a revision of the literature yielded about 50 species de scribed for the Paleozoic, Mesozoic, and Cenozoic. The collections available to us allowed the detailed description of only five species belonging to the genera Ennucula, Propeleda, Tindariopsis, and Malletia. For the remaining species, we confirm or suggest the appropriate generic changes when the description and illustrations permitted it.</t>
  </si>
  <si>
    <t>Univ Michoacana, Fac Biol, Morelia 58066, Michoacan, Mexico; Univ Concepcion, Fac Ciencias Nat &amp; Oceanog, Dept Oceanog, Concepcion, Chile</t>
  </si>
  <si>
    <t>Universidad Michoacana de San Nicolas de Hidalgo; Universidad de Concepcion</t>
  </si>
  <si>
    <t>Villarroel, M (corresponding author), Univ Michoacana, Fac Biol, Valle Huetamo 30,Valle Quieto, Morelia 58066, Michoacan, Mexico.</t>
  </si>
  <si>
    <t>mvmelo@zeus.ccu.umtch.mx</t>
  </si>
  <si>
    <t>INST MALACOL</t>
  </si>
  <si>
    <t>ANN ARBOR</t>
  </si>
  <si>
    <t>2415 SOUTH CIRCLE DR, ANN ARBOR, MI 48103 USA</t>
  </si>
  <si>
    <t>0076-2997</t>
  </si>
  <si>
    <t>2168-9075</t>
  </si>
  <si>
    <t>Malacologia</t>
  </si>
  <si>
    <t>150GP</t>
  </si>
  <si>
    <t>WOS:000077656200004</t>
  </si>
  <si>
    <t>Kirk, JTO; Davies-Colley, RJ; Shooter, D; Schwarz, AM</t>
  </si>
  <si>
    <t>Optical properties of ocean waters in the vicinity of the Chatham Rise, South Pacific Ocean</t>
  </si>
  <si>
    <t>MARINE AND FRESHWATER RESEARCH</t>
  </si>
  <si>
    <t>RAMAN-SCATTERING; NEW-ZEALAND; COASTAL; ISLAND</t>
  </si>
  <si>
    <t>Apparent optical properties of the water at 21 ocean stations in the South Pacific, east of New Zealand in the vicinity of the Chatham Rise, have been studied. Spectral irradiance attenuation and reflectance, and PAR irradiance attenuation, were measured in Sub-tropical and Sub-antarctic water masses, in the Sub-tropical Convergence zone between them, and in coastal waters. The waters studied are considered to be predominantly Jerlov optical types II and III. Anomalous features at wavelengths above 590 nm in the spectra of reflectance and of the vertical attenuation coefficient for upward irradiance were attributed predominantly to Raman emission with a contribution from chlorophyll fluorescence at longer wavelengths.</t>
  </si>
  <si>
    <t>NIWA, Hamilton, New Zealand; CSIRO, Plant Ind, Canberra, ACT, Australia; Univ Auckland, Sch Environm &amp; Marine Sci, Auckland 1, New Zealand; NIWA, Christchurch, New Zealand</t>
  </si>
  <si>
    <t>National Institute of Water &amp; Atmospheric Research (NIWA) - New Zealand; Commonwealth Scientific &amp; Industrial Research Organisation (CSIRO); Plant Industry; University of Auckland; National Institute of Water &amp; Atmospheric Research (NIWA) - New Zealand</t>
  </si>
  <si>
    <t>Davies-Colley, RJ (corresponding author), NIWA, POB 11-115, Hamilton, New Zealand.</t>
  </si>
  <si>
    <t>C S I R O PUBLICATIONS</t>
  </si>
  <si>
    <t>COLLINGWOOD</t>
  </si>
  <si>
    <t>150 OXFORD ST, PO BOX 1139, COLLINGWOOD, VICTORIA 3066, AUSTRALIA</t>
  </si>
  <si>
    <t>1323-1650</t>
  </si>
  <si>
    <t>MAR FRESHWATER RES</t>
  </si>
  <si>
    <t>Mar. Freshw. Res.</t>
  </si>
  <si>
    <t>Fisheries; Limnology; Marine &amp; Freshwater Biology; Oceanography</t>
  </si>
  <si>
    <t>Fisheries; Marine &amp; Freshwater Biology; Oceanography</t>
  </si>
  <si>
    <t>ZH760</t>
  </si>
  <si>
    <t>WOS:000073144900001</t>
  </si>
  <si>
    <t>Rohde, K; Ho, JS; Smales, L; Williams, R</t>
  </si>
  <si>
    <t>Parasites of Antarctic fishes: Monogenea, Copepoda and Acanthocephala</t>
  </si>
  <si>
    <t>species diversity</t>
  </si>
  <si>
    <t>INFECTION</t>
  </si>
  <si>
    <t>The body surface, mouth, gills, internal organs and tissues of 368 teleost fish of 26 species from Prydz Bay, Heard Island, Macquarie Island, Davis Station and Casey Station in Antarctica were examined for parasites. At least eight species of Monogenea, seven species of Copepoda, and five or six species of Acanthocephala were recorded. Overall, the fauna of Monogenea and Copepoda of Antarctic fish is much poorer than that of lower latitudes, and there are fewer species of Gyrodactylidae relative to other Monogenea than at higher northern latitudes. Abundance and species richness of Acanthocephala are relatively high.</t>
  </si>
  <si>
    <t>Univ New England, Dept Zool, Armidale, NSW 2351, Australia; Calif State Univ Long Beach, Dept Biol, Long Beach, CA 90840 USA; Univ Cent Queensland, Fac Sci Appl, Rockhampton, Qld 4702, Australia; Australian Antarctic Div, Kingston, Tas 7050, Australia</t>
  </si>
  <si>
    <t>University of New England; California State University System; California State University Long Beach; Central Queensland University; Australian Antarctic Division</t>
  </si>
  <si>
    <t>10.1071/MF97133</t>
  </si>
  <si>
    <t>ZN713</t>
  </si>
  <si>
    <t>WOS:000073674200004</t>
  </si>
  <si>
    <t>Stark, JS</t>
  </si>
  <si>
    <t>Heavy metal pollution and macrobenthic assemblages in soft sediments in two Sydney estuaries, Australia</t>
  </si>
  <si>
    <t>SPATIAL VARIATION; MARINE-SEDIMENTS; COMMUNITY STRUCTURE; TEMPORAL VARIATION; BENTHOS; BIODIVERSITY; DISTURBANCE; COPPER</t>
  </si>
  <si>
    <t>The influence df heavy metals (copper, lead and zinc) associated with urban runoff, on assemblages of macrofauna in intertidal soft sediments was studied in two estuaries in the Sydney region. The patterns of distribution and abundance of fauna and assemblages was found to vary significantly at several spatial scales: within bays in an estuary, between bays within an estuary and between bays from different estuaries. Significant differences were found in concentrations of heavy metals in sediments, but there was very little difference among bays in other environmental variables: grain-size characteristics and organic matter content of sediments. Bays polluted by heavy metals had significantly different assemblages to unpolluted bays, were generally less diverse and were characterized by an order-of-magnitude greater abundance of capitellids, spionids, nereids and bivalves. Unpolluted bays had greater abundance of crustaceans and several polychaete families, including paraonids and nephtyids and were generally more diverse. There was a significant correlation between patterns of assemblages and concentrations of heavy metals, but not with other environmental variables.</t>
  </si>
  <si>
    <t>Univ Sydney, Inst Marine Ecol, Marine Ecol Labs, Sydney, NSW 2006, Australia</t>
  </si>
  <si>
    <t>Stark, JS (corresponding author), Australian Antarctic Div, Channel Highway, Kingston, Tas 7050, Australia.</t>
  </si>
  <si>
    <t>Ross, Donald J/F-7607-2012; Stark, Jonathan/ABF-4025-2020</t>
  </si>
  <si>
    <t>Stark, Jonathan/0000-0002-4268-8072</t>
  </si>
  <si>
    <t>C S I R O PUBLISHING</t>
  </si>
  <si>
    <t>10.1071/MF97188</t>
  </si>
  <si>
    <t>168UB</t>
  </si>
  <si>
    <t>WOS:000078710100010</t>
  </si>
  <si>
    <t>Ichii, T; Shinohara, N; Fujise, Y; Nishiwaki, S; Matsuoka, K</t>
  </si>
  <si>
    <t>Interannual changes in body fat condition index of minke whales in the Antarctic</t>
  </si>
  <si>
    <t>MARINE ECOLOGY PROGRESS SERIES</t>
  </si>
  <si>
    <t>minke whale; Balaenoptera acutorostrata; feeding ecology; body fat condition index; Antarctic krill; Euphausia superba; sea ice; Ross Sea</t>
  </si>
  <si>
    <t>ROSS SEA; KRILL; FOOD; CONSUMPTION; PENGUINS</t>
  </si>
  <si>
    <t>To study whether or not wide-ranging pelagic predators should be affected by localized changes in prey availability, interannual variability in body fat condition index (assessed from girth measurements) of minke whales Balaenoptera acutorostrata was analyzed in relation to their distribution, stomach-content mass and sea-ice extent during the austral summer in the Antarctic Ocean between 130 degrees E and 170 degrees W. The research area comprised offshore, ice-edge and Ross Sea areas. Of the 3 years (1990/91, 1992/93 and 1994/95) included in the study, 1994/95 was a year of significantly poor body fat condition compared with the other 2 years. The 1994/95 year was characterized by extensive sea-ice conditions, covering the usually krill-rich slope region throughout the season. Since minke whales were scarce and their stomach-content mass small in the ice-edge area during 1994/95, food availability in the area during the season was considered to be poor as a result of the high sea-ice extent. Antarctic krill Euphausia superba was regularly the dominant prey species throughout the survey area, although on the Ross Sea shelf E. crystallorophias was the codominant prey with E. superba. The spatial distribution of body size and maturity of E. superba indicated apparent unsuitability of the Ross Sea area as a nursery and spawning ground for that species. The Ross Sea area was considered to be an area of low food supply throughout the study period, considering the lower level of stomach contents. Paradoxically, this area usually contained numerous minke whales, especially pregnant females. In conclusion, minke whales appear to have been affected by considerable interannual variability in food availability in the ice-edge area, i.e. potentially the most krill-rich area along their migratory route.</t>
  </si>
  <si>
    <t>Natl Res Inst Far Seas Fisheries, Shimizu, Shizuoka 4248633, Japan; Tokai Univ, Fac Marine Sci &amp; Technol, Shimizu, Shizuoka 4248610, Japan; Inst Cetacean Res, Chuo Ku, Tokyo 1040055, Japan</t>
  </si>
  <si>
    <t>Japan Fisheries Research &amp; Education Agency (FRA); Tokai University</t>
  </si>
  <si>
    <t>Ichii, T (corresponding author), Natl Res Inst Far Seas Fisheries, 5-7-1 Orido, Shimizu, Shizuoka 4248633, Japan.</t>
  </si>
  <si>
    <t>ichii@enyo.aiirc.go.jp</t>
  </si>
  <si>
    <t>0171-8630</t>
  </si>
  <si>
    <t>MAR ECOL PROG SER</t>
  </si>
  <si>
    <t>Mar. Ecol.-Prog. Ser.</t>
  </si>
  <si>
    <t>10.3354/meps175001</t>
  </si>
  <si>
    <t>Ecology; Marine &amp; Freshwater Biology; Oceanography</t>
  </si>
  <si>
    <t>Environmental Sciences &amp; Ecology; Marine &amp; Freshwater Biology; Oceanography</t>
  </si>
  <si>
    <t>156GF</t>
  </si>
  <si>
    <t>WOS:000077992700001</t>
  </si>
  <si>
    <t>Shreeve, RS; Ward, P</t>
  </si>
  <si>
    <t>Moulting and growth of the early stages of two species of Antarctic calanoid copepod in relation to differences in food supply</t>
  </si>
  <si>
    <t>Rhincalanus gigas; Calanoides acutus; moulting rates; growth production; Southern Ocean; South Georgia</t>
  </si>
  <si>
    <t>RHINCALANUS-GIGAS COPEPODA; SOUTH-GEORGIA; LIFE-CYCLE; PLANKTONIC COPEPODS; ATLANTIC SECTOR; MARINE COPEPODS; EGG-PRODUCTION; MOLTING RATES; WEDDELL SEA; BODY-SIZE</t>
  </si>
  <si>
    <t>Instantaneous measurements of moulting and growth of the early copepodite stages of 2 species of Antarctic copepod, Rhincalanus gigas and Calanoides acutus, were made at 4 regions around South Georgia during austral summer 1996/1997. Sea surface temperature was similar to 3 degrees C across the study area whereas chlorophyll a concentrations were considerably higher towards the western end of the island. Despite this, moulting rate experiments showed that stage durations of both species were invariably short with no significant regional differences. Stage durations of R. gigas CI, CII and CIII averaged 9, 28 and 15 d respectively, and those of CII, CIII and CIV C. acutus were 4, 7, and 16 d respectively. Daily mass-specific growth rates were lower and less variable in R, gigas (mean 0.05 d(-1)) than in C. acutus (mean 0.14 d(-1)), and showed no measurable regional differences. Those for C. acutus however, were higher off shelf at the western end of the island where the copepodites were heavier than elsewhere. In addition to variations in concentration of chlorophyll a, qualitative differences in the microplankton food supply may also have influenced growth rates. Large diatoms were far more abundant off-shelf at the western end of the island compared to elsewhere, where micro-flagellates and small diatoms dominated. It is suggested that the more opportunistic feeding mode of R. gigas gave stability to its growth rate, whereas C. acutus, which is predominantly herbivorous, was affected by the fluctuations in phytoplankton concentrations and species composition. Moulting occurred within a narrow range of carbon and dry mass for both species, although this range varied between stations.</t>
  </si>
  <si>
    <t>rssh@pcmail.nerc-bas.ac.uk</t>
  </si>
  <si>
    <t>1616-1599</t>
  </si>
  <si>
    <t>10.3354/meps175109</t>
  </si>
  <si>
    <t>WOS:000077992700010</t>
  </si>
  <si>
    <t>Hannach, G; Sigleo, AC</t>
  </si>
  <si>
    <t>Photoinduction of UV-absorbing compounds in six species of marine phytoplankton</t>
  </si>
  <si>
    <t>UV; UV-B radiation; phytoplankton; mycosporine-like amino acids; photoprotection</t>
  </si>
  <si>
    <t>ULTRAVIOLET-B RADIATION; AMINO-ACIDS; OZONE DEPLETION; ANTARCTIC PHYTOPLANKTON; SPECTRAL ABSORPTION; PROROCENTRUM-MICANS; CHLOROPHYLL-A; HIGHER-PLANTS; CELL-VOLUME; PHOTOSYNTHESIS</t>
  </si>
  <si>
    <t>High fluence PAR (photosynthetically active radiation, 400-700 nm), UV-A (320-400 nm), and UV-B (280-320 nm) radiation were tested for their ability to stimulate the production of UV-absorbing mycosporine-like amino acids (MAAs) in 6 diverse species of marine phytoplankton. Dunaliella tertiolecta, Thalassiosira weissflogii, Pyramimonas parkeae, Pavlova gyrans and Isochrysis sp, were grown under (1) low fluence PAR (LL, 25 to 75 mu mol photons m(-2) s(-1)), (2) high fluence PAR (HL, 255 to 290 mu mol photons m(-2) s(-1)), (3) PAR+UV-A (240 to 268 mu mol photons m(-2) s(-1) and 4910 mW m(-2), respectively) and (4) PAR+UV-A+UV-B (103, 216, or 304 mW m-2 weighted UV-B). Amphidinium carterae was grown under similar conditions in LL but reduced levels of PAR and UV radiation were used in the other treatments. UV-B supplementation caused a significant depression (23-57 %) in the chi a-specific growth rate of all species except P. gyrans, which received the second lowest UV-B dose. The quantum yield of fluorescence for photosystem II declined by 4-17 % with exposure to UV-A and/or UV-A+UV-B. The 2 prymnesiophytes exhibited the highest and the dinoflagellate the lowest resistance to UV-B radiation. In vivo absorption spectra indicated that only P, gyrans has a pronounced UV maximum. Of the 3 MAA compounds detected in P. gyrans, only 1 with peak absorption in the UV-A range was photoinducible. The other species examined exhibited relatively small in vivo UV absorption peaks. In these species, only 1 MAA was detected, a compound with peak absorption in the UV-B range and limited inducibility. UV-B radiation more effectively induced MAAs than UV-A or HL in 4 of the 6 species. In P, gyrans large increases in the concentration of the inducible MAA were obtained with HL and with UV-A+UV-B radiation. Relative to LL cells, W-B-exposed P. gyrans exhibited a 145-fold MAA increase accompanied by an Ii-fold increase in the in vivo UV absorption In all other species HL had minimal or no effect on MAA production. UV-A radiation effectively increased the chi a-specific MAA content in Isochrysis sp. (77%), T. weissflogii (73%), and P, parkeae (43%), and UV-B supplementation increased it by a further 141% in Isochrysis sp, and 95 % in P. parkeae. On a cell volume basis, UV-B also approximately doubled the MAA concentration in the latter 2 species. We conclude that, although MAAs may be commonly present in phytoplankton cells, an ability to produce significant amounts of these compounds through photoinduction is limited to certain species or taxa, particularly some prymnesiophytes and dinoflagellates.</t>
  </si>
  <si>
    <t>US EPA, Western Ecol Div, Newport, OR 97365 USA</t>
  </si>
  <si>
    <t>United States Environmental Protection Agency</t>
  </si>
  <si>
    <t>Sigleo, AC (corresponding author), Univ Washington, Sch Fisheries, Box 355100, Seattle, WA 98195 USA.</t>
  </si>
  <si>
    <t>sigleo.anne@epamail.epa.gov</t>
  </si>
  <si>
    <t>10.3354/meps174207</t>
  </si>
  <si>
    <t>152XB</t>
  </si>
  <si>
    <t>WOS:000077801500018</t>
  </si>
  <si>
    <t>Mayzaud, P; Albessard, E; Cuzin-Roudy, J</t>
  </si>
  <si>
    <t>Changes in lipid composition of the Antarctic krill Euphausia superba in the Indian sector of the Antarctic Ocean: influence of geographical location, sexual maturity stage and distribution among organs</t>
  </si>
  <si>
    <t>krill; lipids; spatial heterogeneity; maturity stage organs</t>
  </si>
  <si>
    <t>FATTY-ACID COMPOSITION; BIOCHEMICAL-COMPOSITION; SOUTHERN-OCEAN; INSECT FLIGHT; DANA; HYDROGRAPHY; CRUSTACEA; PHOSPHOLIPIDS; STARVATION; TRANSPORT</t>
  </si>
  <si>
    <t>Lipid content and lipid class composition of Euphausia superba were studied at different levels for populations and individuals sampled in the Indian sector of the Antarctic Ocean. Strong site-to-site variability was recorded which could only partially be related to sex or development stage differences. Three groups of stations could be differentiated. Northern stations were characterized by 'high lipid-high triglyceride' content, western and eastern locations by 'high lipid-high phosphatidyl choline' content and southern areas by 'low lipid-high phosphatidyl ethanolamine/glycolipid' content. Such variability was likely related to advected populations having spent variable lengths of time in the area studied. Lipid content and class among organs were studied in 5 body fractions: abdomen, stomach, digestive gland, gonad and fat body. In absolute terms, the highest concentrations were observed in the ovaries of mature females and the abdomens of the other stages. In relative terms (% dry weight), the digestive gland displayed the highest level, except in mature females. Distribution varied with stages, with low triglyceride levels in abdomen tissues of most stages and in the fat body and stomach fractions of subadults. High triglyceride levels were recorded in the other fractions for post spawning females and males, as well as in the fat body fraction for mature females and in subadult gonads. A reverse pattern was observed for the relative content of phosphatidyl choline. Phosphatidyl ethanolamine showed maximum values in the abdomen and the gonad. Glycolipid percentages were maximum in the abdomen, suggesting a structural role. The roles of the different lipid classes are discussed with respect to the function of the organ.</t>
  </si>
  <si>
    <t>LOBEPM, CNRS, URA 2077, Equipe Oceanog Biochim &amp; Ecol,Observ Oceanol, F-06230 Villefranche Sur Mer, France</t>
  </si>
  <si>
    <t>Centre National de la Recherche Scientifique (CNRS); Sorbonne Universite</t>
  </si>
  <si>
    <t>Mayzaud, P (corresponding author), LOBEPM, CNRS, URA 2077, Equipe Oceanog Biochim &amp; Ecol,Observ Oceanol, BP 28, F-06230 Villefranche Sur Mer, France.</t>
  </si>
  <si>
    <t>mayzaud@ccrv.obs-vlfr.fr</t>
  </si>
  <si>
    <t>10.3354/meps173149</t>
  </si>
  <si>
    <t>140NH</t>
  </si>
  <si>
    <t>WOS:000077093600013</t>
  </si>
  <si>
    <t>Tanasichuk, RW</t>
  </si>
  <si>
    <t>Interannual variations in the population biology and productivity of Euphausia pacifica in Barkley Sound, Canada, with special reference to the 1992 and 1993 warm ocean years</t>
  </si>
  <si>
    <t>Euphausia pacifica; euphausiid; population biology; productivity; ocean variability</t>
  </si>
  <si>
    <t>SOUTHERN BENGUELA CURRENT; ANTARCTIC KRILL; NYCTIPHANES-AUSTRALIS; BAJA-CALIFORNIA; MEGANYCTIPHANES-NORVEGICA; THYSANOESSA-RASCHI; SUPERBA DANA; ST-LAWRENCE; WEST-COAST; NORTH-SEA</t>
  </si>
  <si>
    <t>I monitored the size composition, abundance, growth, reproductive biomass and productivity characteristics of Euphausia pacifica in Barkley Sound, Canada, from March 1991 through March 1997. Sea temperatures were anomalously warm in 1992 (El Nino Southern Oscillation, ENSO) and in 1993; the strongest upwelling over the study period occurred in 1992. Mean annual E. pacifica larval abundance was 6 times greater in 1992 than in 1991, the pre-ENSO year. Adult abundance in 1992 and 1993 was twice that for 1991 due to the strong recruitment moving through the population. Larval abundance fluctuated substantially since the warming while adult abundance returned to pre-ENSO levels in 1994. Growth conditions, as indicated by variations in the condition factor, did not vary significantly over the 6 yr study period. Length-at-maturity increased over the spawning season but interannual variations were too small to influence adult abundance. The sex ratio fluctuated randomly around a grand mean of 0.56 males within and between years. I present a procedure for defining spawning events as a function of larval development time and its variability. I found a number of discrete spawnings annually and suggest that there has been no change in spawning frequency or duration over the study period. I found no significant change in the size of any larval stage over the study period. The relationship between parental and larval abundance follows a Ricker stock-recruit relationship; larval abundance decreased at high parental abundances. Mean annual larval biomass and productivity (growth + moult) ranged from being the same as to 9 times greater than 1991 levels. Mean,adult biomass was 1.2 and 2 times greater in 1992 and 1993 respectively than in 1991; productivity was 1.8 and 2.3 times higher in 1992 and 1993 respectively and has returned to pre-ENSO levels. P:B ratios for total production ranged from 55 to 89 and from 8.6 to 12.4 for larvae and adults respectively. Population P:B ratios fluctuated between 10.7 and 23.3.</t>
  </si>
  <si>
    <t>Fisheries &amp; Oceans Canada, Pacific Biol Stn, Dept Fisheries &amp; Oceans, Nanaimo, BC V9R 5K6, Canada</t>
  </si>
  <si>
    <t>Fisheries &amp; Oceans Canada</t>
  </si>
  <si>
    <t>Fisheries &amp; Oceans Canada, Pacific Biol Stn, Dept Fisheries &amp; Oceans, Nanaimo, BC V9R 5K6, Canada.</t>
  </si>
  <si>
    <t>tanasichukr@dfo-mpo.gc.ca</t>
  </si>
  <si>
    <t>10.3354/meps173163</t>
  </si>
  <si>
    <t>WOS:000077093600014</t>
  </si>
  <si>
    <t>Onsrud, MSR; Kaartvedt, S</t>
  </si>
  <si>
    <t>Diel vertical migration of the krill Meganyctiphanes norvegica in relation to physical environment, food and predators</t>
  </si>
  <si>
    <t>light; scattering layer; stomach pigment; mandibles; asynchronous migration; planktivorous fish</t>
  </si>
  <si>
    <t>SOUND-SCATTERING LAYERS; BENGUELA UPWELLING REGION; WESTERN NORWAY; WINTER DISTRIBUTION; PLANKTONIC COPEPOD; EUPHAUSIA-SUPERBA; FEEDING-BEHAVIOR; ANTARCTIC KRILL; LIGHT-INTENSITY; ZOOPLANKTON</t>
  </si>
  <si>
    <t>Acoustic scattering layers of Meganyctiphanes norvegica in the Oslofjord, Norway, typically stayed below similar to 70 m during the day. They remained below prevailing fish schools, though varying numbers of deep-living fish occurred among the krill. The estimated light intensity at the top of the krill layer varied between 4.6 x 10(-6) and 2.3 x 10(-4) mu mol m(-2) s(-1). M, norvegica followed isolumes during ascent at dusk, but upward migration was mainly arrested at similar to 10-30 m and the krill were scattered throughout the water column at night. The minimum depth was not related to seasonal light levels, chlorophyll concentration or the pycnocline. Fish schools dispersed at sunset, and fish invaded the krill layer at night. Nocturnal avoidance of the surface water may thus have been an antipredator response. Herbivorous feeding was strongly related to abundance of algae (chl a levels). Feeding on phytoplankton increased at night, but daytime stomach pigment content was high during spring, when sedimenting phytoplankton appeared to represent a deep food source. Feeding on copepods was evident both day and night, with no consistent relation between copepod remains in the stomachs and integrated abundance of copepods in the water column. M. norvegica carried out diel vertical migrations irrespective of fluctuations in distribution and abundance of food resources.</t>
  </si>
  <si>
    <t>Univ Oslo, Dept Biol, N-0316 Oslo, Norway</t>
  </si>
  <si>
    <t>University of Oslo</t>
  </si>
  <si>
    <t>Kaartvedt, S (corresponding author), Univ Oslo, Dept Biol, POB 1064 Blindern, N-0316 Oslo, Norway.</t>
  </si>
  <si>
    <t>stein.kaartvedt@bio.uio.no</t>
  </si>
  <si>
    <t>10.3354/meps171209</t>
  </si>
  <si>
    <t>131DZ</t>
  </si>
  <si>
    <t>WOS:000076561600018</t>
  </si>
  <si>
    <t>Dilling, L; Wilson, J; Steinberg, D; Alldredge, A</t>
  </si>
  <si>
    <t>Feeding by the euphausiid Euphausia pacifica and the copepod Calanus pacificus on marine snow</t>
  </si>
  <si>
    <t>marine snow; grazing; Euphausia pacifica; Calanus pacificus</t>
  </si>
  <si>
    <t>PARTICULATE ORGANIC-MATTER; GIANT LARVACEAN HOUSES; MONTEREY-BAY; ANTARCTIC KRILL; WATER COLUMN; FOOD SOURCE; CALIFORNIA; PARTICLES; DETRITUS; ZOOPLANKTON</t>
  </si>
  <si>
    <t>Consumption and assimilation rates of marine zooplankton feeding on large, abundant aggregates, known as marine snow, were measured for the first time. Two common zooplankton species, the euphausiid Euphausia pacifica and the copepod Calanus pacificus, consumed diverse types of field-collected marine snow, including diatom flocs, abandoned larvacean houses, and dinoflagellate aggregates, regardless of their composition, C:N ratio, age, or the availability of alternate dispersed food. Ingestion rates of aggregates by E, pacifica increased with increasing marine snow concentration, although in situ concentrations of aggregates were not sufficient to elicit a maximum ingestion rate. Ingestion rates of aggregates by E. pacifica at higher aggregate concentrations were from 9 to 15 mu g C euphausiid(-1) h(-1). Assimilation efficiencies of euphausiids grazing on marine snow were 83 % (dinoflagellate snow) and 64 to 75 % (diatom/larvacean house snow). These results indicate that marine snow can be an important food source for marine zooplankton and that consumption of large aggregates is likely to play a role in the cycling of carbon and the structure of food webs in the pelagic zone of the ocean.</t>
  </si>
  <si>
    <t>Univ Calif Santa Barbara, Dept Biol, Santa Barbara, CA 93106 USA; Univ Calif Santa Barbara, Inst Marine Sci, Santa Barbara, CA 93106 USA; Bermuda Biol Stn Res Inc, Ferry Reach, Bermuda</t>
  </si>
  <si>
    <t>University of California System; University of California Santa Barbara; University of California System; University of California Santa Barbara</t>
  </si>
  <si>
    <t>Dilling, L (corresponding author), NOAA, OGP, Suite 1210,1100 Wayne Ave, Silver Spring, MD 20910 USA.</t>
  </si>
  <si>
    <t>dilling@ogp.noaa.gov</t>
  </si>
  <si>
    <t>Dilling, Lisa/I-2889-2012</t>
  </si>
  <si>
    <t>Steinberg, Deborah K./0000-0001-9884-4655; Dilling, Lisa/0000-0001-5061-0809</t>
  </si>
  <si>
    <t>10.3354/meps170189</t>
  </si>
  <si>
    <t>127DP</t>
  </si>
  <si>
    <t>WOS:000076335500016</t>
  </si>
  <si>
    <t>Kattner, G; Hagen, W</t>
  </si>
  <si>
    <t>Lipid metabolism of the Antarctic euphausiid Euphausia crystallorophias and its ecological implications</t>
  </si>
  <si>
    <t>krill; euphausiids; lipid storage; wax esters; fatty acids and alcohols; overwintering; reproduction</t>
  </si>
  <si>
    <t>NORTH-ATLANTIC KRILL; WEDDELL SEA; FATTY-ACIDS; MEGANYCTIPHANES-NORVEGICA; OVERWINTERING STRATEGY; HERBIVOROUS COPEPODS; THYSANOESSA-INERMIS; EGG-PRODUCTION; SUPERBA DANA; WAX ESTERS</t>
  </si>
  <si>
    <t>Euphausia crystallorophias is the dominant krill species in high-Antarctic waters and thus has to cope with the most extreme environmental conditions of all euphausiids. To study its lipid biochemical adaptations, various developmental stages were collected during different seasons in the southeastern Weddell Sea. Lipids declined from very high levels in the eggs (51.4 % of dry mass) to low levels in the calyptopis larvae and moderate amounts in the furciliae. Postlarval stages accumulated maximum lipid contents (51.5%) in autumn, whereas minimum levels of 6.5% occurred in late winter/early spring. Wax esters were the primary storage lipid in E, crystallorophias, reaching highest amounts in autumn with a mean of 55.6 % of total lipid. They were also the major lipid class in the eggs. The most abundant fatty acid in the immature and adult specimens was 18:1(n-9). In the wax esters this fatty acid accounted for up to 75% and together with the 18:1(n-7) fatty acid comprised up to 90% of total wax ester fatty acids. The fatty acid composition of the eggs was very similar to that of the females. The predominance of the 18:1 fatty acids is an extraordinary lipid characteristic within the marine zooplankton community. It was less pronounced in the younger stages, where 16:0, 20:5(n-3) and 22:6(n-3) were also important fatty acids. Together with the 18:1(n-9) fatty acid, the above were generally the principal components of the phospholipids. The alcohol moieties of the wax esters consisted almost exclusively of the 2 saturated shorter-chain fatty alcohols 14:0 and 16:0. Fatty acids and alcohols increased linearly with total lipid mass and total lipid content, independent of developmental stage, sex, region, season and food supply. The predominant 18:1(n-9) fatty acid exhibited the highest accumulation rate, triple that of the second most abundant fatty acid 20:5(n-3). The seasonal and ontogenetic lipid compositions suggest that these energy reserves play an important role in metabolic maintenance during the overwintering period and, in particular, allow reproductive processes to take place in late winter/early spring, independent of primary production.</t>
  </si>
  <si>
    <t>Alfred Wegener Inst Polar &amp; Marine Res, D-27515 Bremerhaven, Germany; Univ Kiel, Inst Polarokol, D-24148 Kiel, Germany</t>
  </si>
  <si>
    <t>Helmholtz Association; Alfred Wegener Institute, Helmholtz Centre for Polar &amp; Marine Research; University of Kiel</t>
  </si>
  <si>
    <t>Kattner, G (corresponding author), Alfred Wegener Inst Polar &amp; Marine Res, Postfach 120161, D-27515 Bremerhaven, Germany.</t>
  </si>
  <si>
    <t>gkattner@awi-bremerhaven.de</t>
  </si>
  <si>
    <t>Hagen, Wilhelm/0000-0002-7462-9931</t>
  </si>
  <si>
    <t>10.3354/meps170203</t>
  </si>
  <si>
    <t>WOS:000076335500017</t>
  </si>
  <si>
    <t>Bargagli, R; Monaci, F; Sanchez-Hernandez, JC; Cateni, D</t>
  </si>
  <si>
    <t>Biomagnification of mercury in an Antarctic marine coastal food web</t>
  </si>
  <si>
    <t>mercury; sediments; coastal food web; biomagnification; Ross Sea; Antarctica</t>
  </si>
  <si>
    <t>TERRA-NOVA BAY; NORTHERN VICTORIA-LAND; HEAVY-METALS; TRACE-METALS; ROSS SEA; PAGOTHENIA-BERNACCHII; ADAMUSSIUM-COLBECKI; PHOCA-VITULINA; HARBOR SEAL; SEABIRDS</t>
  </si>
  <si>
    <t>Total Hg concentrations were determined in marine sediments and biota from the inner shelf of Terra Nova Bay (Antarctica). Like published data on air, snow and soils from the same :region, Hg levels in the finest fraction of marine sediments were among the lowest ever reported for coastal marine environments (0.012 +/- 0.007 mu g g(-1) dry wt). A progressive increase in Hg concentrations was found in organisms at different levels of the marine food web (phytoplankton &lt; zooplankton and benthic primary consumers &lt; detritivorous and opportunistic benthic invertebrates &lt; epipelagic fish &lt; demersal fish and plankton-feeding seabirds &lt; fish-eating penguins &lt; predatory birds and Weddell seal). In general, primary producers and consumers showed slightly lower Hg concentrations (0.076 +/- 0.023 mu g g(-1) dry wt) than organisms of related species from other seas, but values in feathers (2.91 +/- 1.93 mu g g(-1) dry wt) of the Antarctic skua and in tissues of a Weddell seal (44.0 and 24.0 mu g g(-1) dry wt in the liver and spleen, respectively) were similar to those in skuas and seals from the northern hemisphere. Trophic connections between organisms in well developed benthic communities, phytoplankton and fish and environmental factors such as enhanced upwelling of cold water, sea ice and low light are deemed to enhance natural biomagnification processes of Hg in the pristine Antarctic coastal environment.</t>
  </si>
  <si>
    <t>Univ Siena, Dept Environm Biol, I-53100 Siena, Italy</t>
  </si>
  <si>
    <t>University of Siena</t>
  </si>
  <si>
    <t>Bargagli, R (corresponding author), Univ Siena, Dept Environm Biol, Via Cerchia 3, I-53100 Siena, Italy.</t>
  </si>
  <si>
    <t>bargagli@unisi.it</t>
  </si>
  <si>
    <t>Sanchez-Hernandez, Juan C./E-8928-2011; Monaci, Fabrizio/B-6611-2012</t>
  </si>
  <si>
    <t>Sanchez-Hernandez, Juan C./0000-0002-8295-0979; Monaci, Fabrizio/0000-0001-5489-1310</t>
  </si>
  <si>
    <t>10.3354/meps169065</t>
  </si>
  <si>
    <t>114BJ</t>
  </si>
  <si>
    <t>WOS:000075589000006</t>
  </si>
  <si>
    <t>Moisan, TA; Olaizola, M; Mitchell, BG</t>
  </si>
  <si>
    <t>Xanthophyll cycling in Phaeocystis antarctica: changes in cellular fluorescence</t>
  </si>
  <si>
    <t>Antarctic; Phaeocystis; phytoplankton; xanthophyll cycling; fluorescence; absorption; diatoxanthin; diadinoxanthin</t>
  </si>
  <si>
    <t>PHOTOSYNTHESIS-IRRADIANCE RELATIONSHIPS; DUNALIELLA-TERTIOLECTA; MARINE-PHYTOPLANKTON; CHLOROPHYLL FLUORESCENCE; LIGHT UTILIZATION; QUANTUM YIELD; MCMURDO SOUND; SEA; PHOTOINHIBITION; PHOTOADAPTATION</t>
  </si>
  <si>
    <t>The xanthophyll cycle has been implicated as a possible photoprotective mechanism in higher plants and algae by dissipating excess excitation energy via non-photochemical quenching. To examine whether colonial Phaeocystis antarctica Karsten displays xanthophyll cycling, nutrient-replete cultures were initially grown under limiting (40 mu mol quanta m(-2) s(-1)) and saturating (280 mu mol quanta m(-2) s(-1)) irradiances for photosynthesis and their responses to irradiance transitions were examined for 1 h under 4 treatments. The in vivo chl-specific absorption coefficient [a(ph)*(lambda), m(2) (mg chl a)(-1)] for the Light-limited cultures was initially lower than the light-saturated cultures while chlorophyll (chl) a-normalized fluorescence yields were similar for both treatments. Increases in irradiance induced increases in the diatoxanthin to diadinoxanthin ratio (DT:DD, w:w) up to 9-fold whereas parallel decreases in irradiance similarly decreased the DT:DD ratio. Light-induced increases in DT concentration were reduced in cultures exposed to dithiothreitol (DTT), an inhibitor of DD to DT conversion. Short-term changes in DD and DT concentrations were attributed solely to xanthophyll cycling; no de novo synthesis of DD or DT was evident based on a constant sum of DD and DT in the 1 h experimental perturbations. It was found that DD and DT de novo synthesis required long-term acclimation; the mass ratio at steady state of (DD+DT)/chl a was 0.1 and 0.4 for the low and high light treatments, respectively. Pooled results from treatment and control cultures showed a linear relationship between light-induced changes in DT/chl a concentration and F/chl a (fluorescence to chi a ratio) and the slopes depended on the initial photoacclimated state of the culture. Cellular fluorescence changes appeared to be physiologically based; a(ph)*(lambda) did not change in response to abrupt irradiance changes. Xanthophyll cycling may enable P. antarctica to tolerate both high light environments and sudden changes in irradiance, which occur during austral spring due to shallow mixed layers and intermittent shading by ice or clouds.</t>
  </si>
  <si>
    <t>Univ Calif San Diego, Scripps Inst Oceanog, La Jolla, CA 92093 USA</t>
  </si>
  <si>
    <t>Moisan, TA (corresponding author), Univ Calif San Diego, Scripps Inst Oceanog, La Jolla, CA 92093 USA.</t>
  </si>
  <si>
    <t>tmoisan@ucsd.edu</t>
  </si>
  <si>
    <t>Mitchell, B. Greg/0000-0002-8550-4333</t>
  </si>
  <si>
    <t>10.3354/meps169113</t>
  </si>
  <si>
    <t>WOS:000075589000010</t>
  </si>
  <si>
    <t>Metz, C</t>
  </si>
  <si>
    <t>Feeding of Oncaea curvata (Poecilostomatoida, Copepoda)</t>
  </si>
  <si>
    <t>copepod; Oncaea curvata feeding; Antarctic</t>
  </si>
  <si>
    <t>DIEL VERTICAL MIGRATION; CYCLOPOID COPEPODS; ANTARCTIC PENINSULA; SOUTH-GEORGIA; PHAEOCYSTIS-POUCHETII; FOOD SOURCE; NORTH-SEA; COMMUNITY; ECOLOGY; PLANKTON</t>
  </si>
  <si>
    <t>Oncaea curvata is one of the dominating copepod species of the Antarctic in terms of numbers, and in the vicinity of the shelf often also in terms of biomass. However, little is known about its role in the ecosystem. The experiments of this study show that O. curvata females prefer large, nonmotile food particles such as aggregates or gelatinous Phaeocystis colonies. Up to 18% of their body carbon was ingested daily from a Phaeocystis cf, pouchetii culture at natural concentrations, and up to 35 % from a Phaeocystis bloom, which consisted of gelatinous colonies with other flagellate species and diatoms. The highest ingestion rates of about 300 % of their body carbon per day were measured when feeding on a Phaeocystis bloom at higher than ambient concentrations. Diatoms were an acceptable food as well. The daily carbon uptake amounted to 2-26% of O. curvata's body carbon at natural chlorophyll a concentrations. Accordingly this species may have as much influence on phytoplankton stocks as calanoid copepods. In contrast to many other Oncaeidae, O. curvata females were not carnivorous and did not feed on motile food (copepods or flagellates).</t>
  </si>
  <si>
    <t>Alfred Wegener Inst Polar &amp; Marine Res, D-28560 Bremerhaven, Germany</t>
  </si>
  <si>
    <t>Metz, C (corresponding author), Univ Wales, E&amp;IP Unit, Bangor LL57 2DG, Gwynedd, Wales.</t>
  </si>
  <si>
    <t>c.metz@bangor.ac.uk</t>
  </si>
  <si>
    <t>10.3354/meps169229</t>
  </si>
  <si>
    <t>WOS:000075589000019</t>
  </si>
  <si>
    <t>Trathan, PN; Murphy, EJ; Croxall, JP; Everson, I</t>
  </si>
  <si>
    <t>Use of at-sea distribution data to derive potential foraging ranges of macaroni penguins during the breeding season</t>
  </si>
  <si>
    <t>macaroni penguin; foraging; at-sea; colony counts; Eudyptes chrysolophus</t>
  </si>
  <si>
    <t>ANTARCTIC FUR SEALS; SOUTH-GEORGIA; EUDYPTES-CHRYSOLOPHUS; SATELLITE TRACKING; INTERANNUAL VARIABILITY; WANDERING ALBATROSSES; BIRD-ISLAND; KRILL; PREDATORS; SEABIRDS</t>
  </si>
  <si>
    <t>Macaroni penguins are the main avian consumer of Antarctic krill in the vicinity of South Georgia. The largest breeding colonies occur on small offshore islands to the northwest of the main island. To delimit the foraging range of penguins from these colonies during the chick-rearing period, we used a series of ship-based survey transects to estimate their distribution and abundance. The survey transects were positioned so as to radiate from a point close to those islands with the largest colonies. Spatial and temporal variations within the data are examined. Penguins were mostly over the continental shelf in water less than 350 m depth and with more than 70 % of birds at distances less than 40 km from the main breeding site. To model the observed distribution of penguins, a theoretical at-sea distribution is developed together with a 'potential foraging footprint'. The results are compared with those from previous models based solely on the use of foraging trip duration and at-sea activity bud gets. The foraging 'footprint' is probably the best basis currently available for assessing the nature of interactions between macaroni penguins and the commercial fisheries for krill.</t>
  </si>
  <si>
    <t>Trathan, PN (corresponding author), British Antarctic Survey, Nat Environm Res Council, High Cross,Madingley Rd, Cambridge CB3 0ET, England.</t>
  </si>
  <si>
    <t>p.trathan@bas.ac.uk</t>
  </si>
  <si>
    <t>murphy, eugene/GZL-1620-2022</t>
  </si>
  <si>
    <t>10.3354/meps169263</t>
  </si>
  <si>
    <t>WOS:000075589000023</t>
  </si>
  <si>
    <t>Kasamatsu, F; Ensor, P; Joyce, GG</t>
  </si>
  <si>
    <t>Clustering and aggregations of minke whales in the Antarctic feeding grounds</t>
  </si>
  <si>
    <t>minke whale; distribution; aggregation; clustering; Antarctic; Ross Sea; Weddell Sea; Prydz Bay; sighting survey</t>
  </si>
  <si>
    <t>Information on the degree of clustering and aggregation behavior of whales is extremely limited. To obtain such information within various survey areas would not only be of help in understanding cetacean ecology, but also in optimizing the survey design in order to obtain abundance estimates with minimal variance. The clustering and aggregation patterns of minke whales Balaenoptera acutorostrata were examined using the data derived from systematic sighting surveys in 3 major feeding grounds in Antarctic waters. Distribution patterns showed that minke whales clustered in the Antarctic feeding grounds but were relatively randomly distributed within the aggregations, with the possibility that schools within the aggregation tend to avoid each other. Higher clustering was observed in areas within bays (Ross Sea and Prydz Bay) than in areas of open water (Weddell Sea). Mean school sizes were positively correlated with density. Aggregation patterns in relation to density and abundance in Antarctic waters are presented.</t>
  </si>
  <si>
    <t>Marine Ecol Res Inst, Chiyoda Ku, Tokyo 1010051, Japan; Governors Bay, Lyttelton RD1, New Zealand; Moon Joyce Resources, Seattle, WA 98115 USA</t>
  </si>
  <si>
    <t>Kasamatsu, F (corresponding author), Marine Ecol Res Inst, Chiyoda Ku, 3-29 Junbo Cho, Tokyo 1010051, Japan.</t>
  </si>
  <si>
    <t>fkasamat@mxm.meshnet.or.jp</t>
  </si>
  <si>
    <t>10.3354/meps168001</t>
  </si>
  <si>
    <t>107UQ</t>
  </si>
  <si>
    <t>WOS:000075229700001</t>
  </si>
  <si>
    <t>Rodhouse, PG; Olsson, O; Anker-Nilssen, P; Murray, AWA</t>
  </si>
  <si>
    <t>Cephalopod predation by the king penguin Aptenodytes patagonicus from South Georgia</t>
  </si>
  <si>
    <t>cephalopods; king penguins; oceanography; South Georgia</t>
  </si>
  <si>
    <t>POLAR FRONTAL ZONE; NEKTON COMMUNITY; SATELLITE TRACKING; DIOMEDEA-EXULANS; AUSTRAL SUMMER; SCOTIA SEA; PREY; DIET; OMMASTREPHIDAE; ATLANTIC</t>
  </si>
  <si>
    <t>The king penguin Aptenodytes patagonicus is a sub-Antarctic species that feeds primarily on mesopelagic fish and cephalopods in the vicinity of the Antarctic Polar Front (APF). We examined the cephalopod prey of adult penguins at a breeding colony on South Georgia during 4 austral summers, 1990 to 1994. The most important prey (similar to 97 % by mass) of the king penguins was found, in a related study, to be mesopelagic fish, mainly myctophids. The penguins' cephalopod prey, which constituted the remaining 3%, was shown in this study to be dominated by the ommastrephid squid Martialia hyadesi, both in terms of numbers and biomass. Other squid species were typical of the South Georgia/Antarctic Polar Front (APF) area but only relatively small specimens were present and, apart from Gonatus antarcticus, the presence of flesh indicated that they were probably mostly caught close to the island. M. hyadesi generally fell in the same size range as M. hyadesi exploited by commercial fisheries in the South Atlantic. In the 1992/93 summer, when krill was abundant at South Georgia, the amount of squid consumed, especially M. hyadesi, was substantially less than in the other years. This coincided with a reduction in the amount of the myctophid Krefftichthys anderssoni, which is the major prey of M. hyadesi, in the penguin diet. The total consumption of cephalopods by the king penguin at South Georgia is estimated to be about 75 000 t yr(-1). Of this, some 3600 to 6000 t yr(-1) is estimated to be M. hyadesi. This might underestimate consumption if the penguins consume a greater proportion of squid in the winter, as they do in other sectors of the Southern Ocean.</t>
  </si>
  <si>
    <t>British Antarctic Survey, NERC, Cambridge CB3 0ET, England; Uppsala Univ, Dept Zool, S-75236 Uppsala, Sweden; Univ Oslo, Dept Marine Zool, N-0316 Oslo, Norway</t>
  </si>
  <si>
    <t>UK Research &amp; Innovation (UKRI); Natural Environment Research Council (NERC); NERC British Antarctic Survey; Uppsala University; University of Oslo</t>
  </si>
  <si>
    <t>Rodhouse, PG (corresponding author), British Antarctic Survey, NERC, High Cross,Madingley Rd, Cambridge CB3 0ET, England.</t>
  </si>
  <si>
    <t>p.rodhouse@bas.ac.uk</t>
  </si>
  <si>
    <t>Rodhouse, Paul/0000-0001-5399-967X; Olsson, Olof/0000-0002-9479-7609</t>
  </si>
  <si>
    <t>10.3354/meps168013</t>
  </si>
  <si>
    <t>WOS:000075229700002</t>
  </si>
  <si>
    <t>Saito, H; Murata, M</t>
  </si>
  <si>
    <t>Origin of the monoene fats in the lipid of midwater fishes: relationship between the lipids of myctophids and those of their prey</t>
  </si>
  <si>
    <t>Myctophidae; monoene; deep-sea fish; food chain; fish oil; lipid class; fatty acid composition; wax ester; triacylglycerol; monoenoic fatty acid</t>
  </si>
  <si>
    <t>ROUGHY HOPLOSTETHUS-ATLANTICUS; DOCOSAHEXAENOIC ACID CONTENT; BONITO EUTHYNNUS-PELAMIS; SUB-ANTARCTIC COPEPOD; WAX ESTERS; ORANGE ROUGHY; EICOSAPENTAENOIC ACID; NEOCALANUS-TONSUS; MARINE COPEPODS; LINOLENIC ACID</t>
  </si>
  <si>
    <t>The lipid and fatty acid composition of the total Lipids in the tissues (whole animal excluding stomach contents) and the stomach contents of 13 myctophid species living in the mesopelagic zone were analyzed. Triacylglycerols (TAG) were the dominant deposit lipids in 10 myctophid species, while wax esters (WE) were found to be the major neutral lipids in 3 non vertically migratory species. Lipids from the myctophid stomach contents were determined to contain mixtures of WE and TAG. Monoenoic acids and alcohols were the major fatty components in both the TAG and the WE: of the lipids from the tissues and stomach contents of all of the specimens examined. Lipid classes in the stomach contents originating from prey were different from those in myctophid tissues, but the level of monoenes in stomach content lipids was very similar to those in the tissue lipids. This finding suggests that myctophids may transfer dietary lipids to specific lipid classes, without biosynthetic modification such as carbon chain elongation or desaturation.</t>
  </si>
  <si>
    <t>Minist Agr Forestry &amp; Fisheries, Natl Res Inst Fisheries Sci, Lab Lipid Chem, Lipid Chem Sect,Kanazawa Ku, Yokohama, Kanagawa 236, Japan</t>
  </si>
  <si>
    <t>Ministry of Agriculture Forestry &amp; Fisheries - Japan; Japan Fisheries Research &amp; Education Agency (FRA)</t>
  </si>
  <si>
    <t>Minist Agr Forestry &amp; Fisheries, Natl Res Inst Fisheries Sci, Lab Lipid Chem, Lipid Chem Sect,Kanazawa Ku, Fuku Ura, Yokohama, Kanagawa 236, Japan.</t>
  </si>
  <si>
    <t>hiroakis@nrifs.affrc.go.jp</t>
  </si>
  <si>
    <t>10.3354/meps168021</t>
  </si>
  <si>
    <t>WOS:000075229700003</t>
  </si>
  <si>
    <t>Hunt, GL; Russell, RW; Coyle, KO; Weingartner, T</t>
  </si>
  <si>
    <t>Comparative foraging ecology of planktivorous auklets in relation to ocean physics and prey availability</t>
  </si>
  <si>
    <t>biological-physical coupling; tidal fronts; least auklet; crested auklet; parakeet auklet; Aethia pusilla; Aethia cristatella; Aethia psittacula; seabird foraging ecology</t>
  </si>
  <si>
    <t>GREAT BARRIER-REEF; BERING SEA; PRIBILOF ISLANDS; TIDAL FRONTS; CONVERGENT EVOLUTION; SEABIRD COMMUNITIES; ANTARCTIC SEABIRDS; BRITISH-COLUMBIA; FEEDING ECOLOGY; LEAST AUKLETS</t>
  </si>
  <si>
    <t>We tested the hypothesis that the spatial distributions of foraging least, crested and parakeet auklets (Aethia pusilla, A. cristatella and A. psittacula, respectively) in the shallow passes of the Aleutian Islands would be determined by physical mechanisms that control near-surface prey concentrations. We recorded currents using an Acoustic Doppler Current Profiler, volume scattering using 200 and 420 kHz scientific echosounders, and the numbers of foraging birds. Zooplankton were sampled using a multiple opening/closing net and environmental sampling system (MOCNESS). Prey choice of birds was ascertained by collecting foraging birds and examining their stomach contents. Most sampling occurred between 8 July and 6 August 1993, when we conducted 50 passages along a transect that crossed a sill between Unalga and Kavalga Islands, western Aleutian Islands, thereby sampling the foraging activity of auklets at a variety of times of day and tidal phases. We found that the abundance of foraging individuals of each of the 3 auklet species was a function of tidal speed. Auklet species were selective about the species of prey taken. Regardless of tidal direction, crested auklets foraged on euphausiids upwelled on the upstream side of the pass, whereas least auklets consumed copepods concentrated in near-surface convergences on the downstream side. Parakeet auklets foraged over the top of the pass and took fish and invertebrates. Tidal speed and direction influenced the distance between the peak numbers of some, but not all, species of auklets. Auklet prey preferences dictated where they foraged in the pass and the physical mechanisms exploited for successful foraging. Thus, in this instance, resource partitioning by these closely related planktivores was enhanced by a spatial segregation forced by the physical processes that enhanced the availability of prey. Our findings emphasize the important role of physical processes in the structuring of marine communities.</t>
  </si>
  <si>
    <t>Univ Calif Irvine, Dept Ecol &amp; Evolutionary Biol, Irvine, CA 92697 USA; Univ Alaska, Inst Marine Sci, Fairbanks, AK 99775 USA</t>
  </si>
  <si>
    <t>University of California System; University of California Irvine; University of Alaska System; University of Alaska Fairbanks</t>
  </si>
  <si>
    <t>Univ Calif Irvine, Dept Ecol &amp; Evolutionary Biol, Irvine, CA 92697 USA.</t>
  </si>
  <si>
    <t>glhunt@uci.edu</t>
  </si>
  <si>
    <t>Bond, Alexander L/A-3786-2010; Hunt, George/V-9423-2019</t>
  </si>
  <si>
    <t>Hunt, George/0000-0001-8709-2697</t>
  </si>
  <si>
    <t>10.3354/meps167241</t>
  </si>
  <si>
    <t>ZZ007</t>
  </si>
  <si>
    <t>WOS:000074685500022</t>
  </si>
  <si>
    <t>Weimerskirch, H; Cherel, Y</t>
  </si>
  <si>
    <t>Feeding ecology of short-tailed shearwaters: breeding in Tasmania and foraging in the Antarctic?</t>
  </si>
  <si>
    <t>allocation; energy gain; foraging efficiency; chick growth; Antarctica; diving depths; resource partitioning; seabirds; Puffinus tenuirostris</t>
  </si>
  <si>
    <t>PUFFINUS-TENUIROSTRIS; NYCTIPHANES-AUSTRALIS; INCUBATION ROUTINE; EASTERN TASMANIA; SOUTHERN-OCEAN; PETRELS; SEABIRDS; CHICKS; FOOD; PENGUINS</t>
  </si>
  <si>
    <t>The food, feeding and physiological ecology of foraging were studied in the short-tailed shearwater Puffinus tenuirostris of Tasmania, to establish whether this species can rely an Antarctic food to fledge its chick. Parents were found to use a 2-fold foraging strategy, on average performing 2 successive short trips at sea of 1 to 2 d duration followed by 1 long trip of 9 to 17 d. These long foraging trips are the longest yet recorded for any seabird. During short trips the parents tend to lose mass, feeding the chick with Australian krill and fish larvae caught in coastal and neritic waters around Tasmania. The prey are caught at maximum diving depths of 13 m on average (maximum 30 m). During long trips, adults gain mass and feed their chicks with a very rich mixture of stomach oil and digested food composed of a high diversity of prey including myctophid fish, sub-Antarctic krill and squids. Prey are probably caught mainly in the Polar Frontal Zone, at least 1000 km south of Tasmania, at maximum depths of 58 m on average (maximum 71 m). Long foraging Mps in distant southern waters gave at least twice the yield of trips in close waters but during the former, yield decreased with the time spent foraging, as indicated by the inverse relationship between time spent foraging and adult body condition. Decisions whether to forage in close or distant waters appear to be determined by the body condition of the parents rather than by that of the chick. Good body condition of parents was associated with high blood prolactin levels: birds in poor body condition invested in the restoration of body reserves and went to the rich area of the Polar Frontal Zone or to Antarctic waters, whereas those in good condition continued to provision the chick with food caught in Tasmanian waters and use their body reserves. The species thus exploits 2 water masses that differ in profitability. Most of the energy budget for rearing the chick is balanced by prey caught in rich southern waters where the birds build up their body reserves and find most of the energy needed by the chick. However, nearby shallow waters are important for the breeding strategy as they allow an increased rate of energy flow to the chick. In a species as abundant as the short-tailed shearwater, the 2-fold strategy has the advantage of Limiting competition in coastal and shallow waters, as at any one time only 17% of birds are feeding there. The influence of the marine environment and energetic constraints on the evolution of provisioning strategies is discussed.</t>
  </si>
  <si>
    <t>CNRS, CEBC, F-79360 Beauvoir Sur Niort, France</t>
  </si>
  <si>
    <t>CNRS, CEBC, F-79360 Beauvoir Sur Niort, France.</t>
  </si>
  <si>
    <t>henriw@cebc.cnrs.fr</t>
  </si>
  <si>
    <t>Weimerskirch, Henri/F-5562-2013; Weimerskirch, Henri/K-7306-2019</t>
  </si>
  <si>
    <t>Weimerskirch, Henri/0000-0002-0457-586X</t>
  </si>
  <si>
    <t>10.3354/meps167261</t>
  </si>
  <si>
    <t>WOS:000074685500023</t>
  </si>
  <si>
    <t>van Leeuwe, MA; Timmermans, KR; Witte, HJ; Kraay, GW; Veldhuis, MJW; de Baar, HJW</t>
  </si>
  <si>
    <t>Effects of iron stress on chromatic adaptation by natural phytoplankton communities in the Southern Ocean</t>
  </si>
  <si>
    <t>iron; chromatic adaptation; antarctic phytoplankton</t>
  </si>
  <si>
    <t>CHLOROPHYLL-A FLUORESCENCE; EQUATORIAL PACIFIC-OCEAN; BLUE-GREEN LIGHT; PHAEODACTYLUM-TRICORNUTUM; PHOTOSYNTHETIC APPARATUS; MARINE-PHYTOPLANKTON; CHEMICAL-COMPOSITION; SCOTIA SEAS; WEDDELL SEA; GROWTH</t>
  </si>
  <si>
    <t>Effects of iron stress on chromatic adaptation were studied in natural phytoplankton communities collected in the Pacific region of the Southern Ocean. Iron enrichment experiments (48 to 72 h) were performed, incubating plankton communities under white, green and blue light respectively, with and without addition of 2 nM Fe. Pigment ratios were affected by iron addition only to a minor extent. The pigment composition as dictated by the light conditions was similar for both the iron-enriched and the unamended bottles. Upon iron addition, phytoplankton auto-fluorescence, as estimated by flow cytometry, decreased markedly, indicating iron stress of the endemic phytoplankton community. It was concluded that iron did not control chromatic adaptation via the pigment composition, but exerted a clear effect on the efficiency of electron transfer.</t>
  </si>
  <si>
    <t>Netherlands Inst Sea Res, NL-1790 AB Den Burg, Netherlands</t>
  </si>
  <si>
    <t>Utrecht University; Royal Netherlands Institute for Sea Research (NIOZ)</t>
  </si>
  <si>
    <t>van Leeuwe, MA (corresponding author), Univ Groningen, Dept Marine Biol, POB 14, NL-9750 AA Haren, Netherlands.</t>
  </si>
  <si>
    <t>m.a.van.leeuwe@biol.rug.nl</t>
  </si>
  <si>
    <t>timmermans, klaas/0000-0002-3214-4354</t>
  </si>
  <si>
    <t>10.3354/meps166043</t>
  </si>
  <si>
    <t>ZW639</t>
  </si>
  <si>
    <t>WOS:000074431800004</t>
  </si>
  <si>
    <t>McCafferty, DJ; Boyd, IL; Walker, TR; Taylor, RI</t>
  </si>
  <si>
    <t>Foraging responses of Antarctic fur seals to changes in the marine environment</t>
  </si>
  <si>
    <t>foraging; Antarctic fur seal; environmental variation; seasonality; krill</t>
  </si>
  <si>
    <t>ARCTOCEPHALUS-GAZELLA; SOUTH GEORGIA; DIVING BEHAVIOR; GROWTH-RATE; REPRODUCTION; SEASON; KRILL; AGE</t>
  </si>
  <si>
    <t>This study examined the relative contribution of environmental variation and the seasonal demands of pup rearing on the foraging behaviour of female Antarctic fur seals Arctocephalus gazella at Bird Island, South Georgia (54 degrees S, 38 degrees W), during 3 austral summers (1994 to 1996). Time-depth recorders measured the diving behaviour of 72 individuals during a total of 385 foraging trips totalling 1964 d at sea. The frequencies of krill, fish and squid in the diet were estimated from prey items contained in seats. In 1996, a year of high krill abundance, females made shorter foraging trips, fewer dives and spent more time ashore than in 1994 when krill was scarce. Females fed exclusively on krill in 1996, and frequent shallow daytime diving indicated that krill were close to the surface during the day. In 1994 and 1995 deeper and longer-duration daytime dives were associated with a higher proportion of fish and squid in the diet. Foraging trip duration, ashore duration and dive frequency increased through the course of the 1995 and 1996 lactation seasons. Females, therefore, appeared to match pup demands by increasing both time feeding at sea and energy delivery to the pup on land. However, the importance of sea surface temperature and duration of night in multiple regression models suggested that physical factors were also important in explaining the seasonal pattern of fur seal foraging behaviour.</t>
  </si>
  <si>
    <t>McCafferty, DJ (corresponding author), British Antarctic Survey, NERC, High Cross,Madingley Rd, Cambridge CB3 0ET, England.</t>
  </si>
  <si>
    <t>d.mccafferty@bas.ac.uk</t>
  </si>
  <si>
    <t>10.3354/meps166285</t>
  </si>
  <si>
    <t>WOS:000074431800028</t>
  </si>
  <si>
    <t>Jansen, JK; Boveng, PL; Bengtson, JL</t>
  </si>
  <si>
    <t>Foraging modes of chinstrap penguins: contrasts between day and night</t>
  </si>
  <si>
    <t>diel activity patterns; diet composition; foraging trip duration; myctophid fish; ecological monitoring; Pygoscelis antarctica; Euphausia superba</t>
  </si>
  <si>
    <t>KRILL EUPHAUSIA-SUPERBA; DIEL VERTICAL MIGRATION; SOUTH SHETLAND ISLANDS; PYGOSCELIS-ADELIAE; APTENODYTES-PATAGONICUS; SPHENISCUS-DEMERSUS; KING PENGUIN; INFORMATION-CENTERS; MACARONI PENGUINS; DIVING BEHAVIOR</t>
  </si>
  <si>
    <t>Penguins rely on vision to travel and hunt at sea. Vision in marine predators, particularly those hunting phototactic prey under a broad range of light intensities, must be better understood to realize how these species respond to changes in their environment. We studied the effects of daily cycles in light intensity on visual predators by examining the duration and timing of chinstrap penguins' Pygoscelis antarctica foraging trips and the size, composition, and timing of their meals. We used radio telemetry and stomach-contents sampling to study adult penguins that were provisioning chicks during the summers of 1993 and 1994 at Seal Island, Antarctica. The penguins rarely initiated or terminated foraging trips at night, but otherwise varied the timing and duration of trips to sea. Cluster analyses using departure and arrival times revealed 5 distinct modes of foraging: 3 were strictly diurnal (early, mid-, and late) and 2 were partly nocturnal (overnight and extended). Durations of diurnal trips (4 to 11 h) were shorter than overnight (13 to 14 h) and extended trips (18 to 22 h). Early and mid-diurnal trips and extended trips were significantly shorter in 1993 than in 1994; late diurnal and overnight trip durations did not differ between years. Diurnal foraging was most common in 1993, whereas overnight foraging predominated in 1994. Shortened diurnal foraging in 1993 appears to have increased the frequency of diurnal foraging by allowing more parent birds to alternate diurnal trips within a single day and by reducing the incidence of birds extending diurnal foraging through the night. That penguins foraged more frequently by day when permitted by shorter trip durations tin 1993) suggests that they opted to forage diurnally whenever possible. Returning diurnal and overnight foragers had greater than 99 and 74% Antarctic krill Euphausia superba by weight in their stomachs, respectively. However, overnight foragers also returned with significant amounts of highly digested remains of pelagic fish, suggesting birds were in offshore waters taking fish during the night. In contrast, only 1 out of 40 diurnal foragers from both years combined had evidence of fish. Thus, the daily light cycle affected both the timing and duration of chinstrap penguin foraging as well as the type of prey consumed during trips to sea.</t>
  </si>
  <si>
    <t>NOAA, Natl Marine Mammal Lab, Alaska Fisheries Sci Ctr, Seattle, WA 98115 USA</t>
  </si>
  <si>
    <t>Jansen, JK (corresponding author), NOAA, Natl Marine Mammal Lab, Alaska Fisheries Sci Ctr, 7600 Sand Point Way NE,Bldg 4, Seattle, WA 98115 USA.</t>
  </si>
  <si>
    <t>john.jansen@noaa.gov</t>
  </si>
  <si>
    <t>10.3354/meps165161</t>
  </si>
  <si>
    <t>ZQ164</t>
  </si>
  <si>
    <t>WOS:000073828700014</t>
  </si>
  <si>
    <t>Takeuchi, I; Watanabe, K</t>
  </si>
  <si>
    <t>Respiration rate and swimming speed of the necrophagous amphipod Eurythenes gryllus from Antarctic deep waters</t>
  </si>
  <si>
    <t>ammonia-N excretion rate; Antarctic deep waters; Eurythenes gryllus; lysianassoid amphipods; respiration rate; swimming speed</t>
  </si>
  <si>
    <t>During the 35th JARE (Japanese Antarctic Research Expedition) Cruise, we collected large lysianassoid amphipods Eurythenes gryllus alive from 3186 m depth off Lutzow-Holm Bay using a baited trap and measured the respiration rates and swimming speeds of amphipods on board (-0.5 to -1.O degrees C). The oxygen consumption rate (OC; mu M ind.-l h-l) was significantly correlated with the wet body weight (BW; g) for log(10) transformed data; log OC = 0.190 + 0.647.log BW (p &lt; 0.05). The swimming speed (SS; cm s(-1)), which was determined from video camera recordings made on amphipods placed in a plastic container, also showed a linear relationship with body weight for log(10) transformed data; log SS = 0.412 + 0.515.log BW (p &lt; 0.005). Using the regression of the swimming speed, the population density of E. gryllus was estimated based on a modification of an existing model of the area where the amphipods were attracted to the bait.</t>
  </si>
  <si>
    <t>Univ Tokyo, Ocean Res Inst, Otsuchi Marine Res Ctr, Otsuchi, Iwate 02811, Japan; Natl Inst Polar Res, Tokyo 173, Japan</t>
  </si>
  <si>
    <t>University of Tokyo; Research Organization of Information &amp; Systems (ROIS); National Institute of Polar Research (NIPR) - Japan</t>
  </si>
  <si>
    <t>Takeuchi, I (corresponding author), Univ Tokyo, Ocean Res Inst, Otsuchi Marine Res Ctr, Otsuchi, Iwate 02811, Japan.</t>
  </si>
  <si>
    <t>takeuchi@wakame.ori.u-tokyo.ac.jp</t>
  </si>
  <si>
    <t>Watanabe, Kentaro/0000-0002-5177-0086</t>
  </si>
  <si>
    <t>10.3354/meps163285</t>
  </si>
  <si>
    <t>ZG722</t>
  </si>
  <si>
    <t>WOS:000073032800028</t>
  </si>
  <si>
    <t>Pardee, DR; Hey, RN; Martinez, F</t>
  </si>
  <si>
    <t>Cross-sectional areas of mid-ocean ridge axes bounding the Easter and Juan Fernandez microplates</t>
  </si>
  <si>
    <t>MARINE GEOPHYSICAL RESEARCHES</t>
  </si>
  <si>
    <t>cross-sectional area; propagating rifts; Easter microplate; Juan Fernandez microplate; basalt geochemistry</t>
  </si>
  <si>
    <t>FAST-SPREADING RIDGES; PACIFIC RISE; RIFT PROPAGATION; TECTONIC EVOLUTION; MIDOCEAN RIDGES; AXIS DISCONTINUITIES; ANTARCTIC PLATE; SOUTH-ATLANTIC; MAGMA CHAMBER; LARGE-OFFSET</t>
  </si>
  <si>
    <t>We have calculated cross-sectional areas for the ridges bounding the Easter and Juan Fernandez microplates, 22 degrees-28 degrees S and 31 degrees-35 degrees S, obtaining accurate results where complete bathymetric data exist and estimates in other regions with partial bathymetric coverage and predicted bathymetry. We consider the reliability and usefulness of global predicted bathymetry in these calculations and the possible application of this dataset in other localities. The spreading rates on ridges bounding these microplates span the range from slow to superfast, allowing an investigation of ridge axis inflation over most of the rates active on Earth today. The across-axis areas of the Easter microplate ridge axes range from -29 km(2) to 7 km(2), while the Juan Fernandez ridge axis areas range from -27 km(2) to 8 km(2). Positive values correlate with regions usually interpreted as magmatically robust. Negative values arise from calculations in areas of propagating rift tips and deep grabens, such as Pito and Endeavor Deeps. Geochemical trends of Easter microplate axial basalts show decreasing MgO toward propagating rift tips and slight positive correlations between variables such as MgO vs. cross-sectional area, Na-8.0 vs. axial depth, and Na-8.0 vs. cross-sectional area. We document the decrease in the axial area approaching segment ends and propagating rift tips along both the West and East ridges of the microplates. On the Easter microplate both East and West ridge systems undergo large variations in spreading rate from &gt; 130 km Myr(-1) to &lt; 50 km Myr(-1). Inflation on these ridge segments is highly variable and only weakly correlated with spreading rate. On the Juan Fernandez microplate, West ridge spreading rates vary only between similar to 115-140 km Myr(-1) and are systematically faster than on the East ridge, where rates vary between similar to 10-35 km Myr(-1). Cross axis areas are systematically greater and significantly less variable on the faster spreading West ridge. Overall, compared to oceanic spreading centers bounding major plates with similar spreading rates, the axial areas are smaller on the microplate ridge systems, possibly because their rapidly changing configurations create a lag in the mantle response to the rigid plate boundary.</t>
  </si>
  <si>
    <t>Univ Hawaii, Sch Ocean &amp; Earth Sci &amp; Technol, Honolulu, HI 96822 USA</t>
  </si>
  <si>
    <t>University of Hawaii System</t>
  </si>
  <si>
    <t>Pardee, DR (corresponding author), Univ Hawaii, Sch Ocean &amp; Earth Sci &amp; Technol, Honolulu, HI 96822 USA.</t>
  </si>
  <si>
    <t>0025-3235</t>
  </si>
  <si>
    <t>MAR GEOPHYS RES</t>
  </si>
  <si>
    <t>Mar. Geophys. Res.</t>
  </si>
  <si>
    <t>10.1023/A:1004768716893</t>
  </si>
  <si>
    <t>Geochemistry &amp; Geophysics; Oceanography</t>
  </si>
  <si>
    <t>306ZM</t>
  </si>
  <si>
    <t>WOS:000086628600004</t>
  </si>
  <si>
    <t>Alexeev, VA</t>
  </si>
  <si>
    <t>Parent bodies of L and H chondrites: Times of catastrophic events</t>
  </si>
  <si>
    <t>RAY EXPOSURE AGES; COSMOGENIC NUCLIDES; METEORITES; AR-40-AR-39; IRRADIATION; HISTORY</t>
  </si>
  <si>
    <t>An analysis of the distribution of He-3 and He-4 in L and H chondrites has shown that the parent body of L chondrites underwent a catastrophic collision in space 340 +/- 50 Ma ago. This age differs considerably from the collision age of 520 +/- 60 Ma given previously (Heymann, 1967). The parent body of H chondrites may also have undergone local heating and degassing similar to 200 Ma ago. Data for L chondrites argue in favour of Antarctic and non-Antarctic meteorites having originated from a common parent body.</t>
  </si>
  <si>
    <t>Russian Acad Sci, VI Vernadskii Inst Geochem &amp; Analyt Chem, Moscow 117975, Russia</t>
  </si>
  <si>
    <t>Russian Academy of Sciences; Vernadsky Institute of Geochemistry &amp; Analytical Chemistry</t>
  </si>
  <si>
    <t>Russian Acad Sci, VI Vernadskii Inst Geochem &amp; Analyt Chem, Moscow 117975, Russia.</t>
  </si>
  <si>
    <t>aval@icp.ac.ru</t>
  </si>
  <si>
    <t>Alexeev, Victor/0000-0002-1835-9009</t>
  </si>
  <si>
    <t>10.1111/j.1945-5100.1998.tb01616.x</t>
  </si>
  <si>
    <t>YT237</t>
  </si>
  <si>
    <t>WOS:000071579600016</t>
  </si>
  <si>
    <t>Andronikov, AV; Foley, SF; Beliatsky, BV</t>
  </si>
  <si>
    <t>Sm-Nd and Rb-Sr isotopic systematics of the East Antarctic Manning Massif alkaline trachybasalts and the development of the mantle beneath the Lambert-Amery rift</t>
  </si>
  <si>
    <t>MINERALOGY AND PETROLOGY</t>
  </si>
  <si>
    <t>CONTINENTAL RIFT; XENOLITHS; ORIGIN; METASOMATISM; CONSTRAINTS; MECHANISMS; PERIDOTITE; BEARING; ELEMENT; NODULES</t>
  </si>
  <si>
    <t>Rb-Sr and Sm-Nd isotopic investigations have been carried out on samples forming a sequence from the bottom to the top of a suite of K-rich olivine trachybasalts from the Manning Massif in the northern Prince Charles Mountains, East Antarctica. Several separate flows, each 3.5-6.5 m thick, occur as individual small outcrops and are related to the Lambert-Amery rift. Nd-Sr isotopic features of the volcanics are similar to those for Iherzolite xenoliths from the Mesozoic alkaline ultramafic rocks of the adjacent Jetty Peninsula area, but the trace element abundances and patterns are consistent with the occurrence of minor phases such as apatite. amphibole, ilmenite and perovskite in the source region. According to Nd-Sr isotopic characteristics (Nd-143/Nd-144 = 0.512026-0.512269; Sr-87/Sr-86 = 0.707765-0.708046), the trachybasalts were generated from an enriched mantle source. These features ape suggested here to result from isotopic mixing between peridotite wall-rocks similar to the Jetty Peninsula xenolith samples and melts derived from ultramafic veins in the lithosphere. A synthesis from isochron and model ages on volcanics and xenoliths indicates formation of the lithosphere at about 1.2 Ga, followed by two episodes of subsequent enrichment at 0.9-1.0 Ga and ca. 0.6 Ga. The Nd-143/Nd-144 values for the volcanics show a wide range, but are more enriched for the bottom part of the suite, becoming more depleted towards the top. This may be explained by a steadily decreasing vein/wall-rock ratio from 35% to 10% due to progressive heating of the source region. This variation in epsilon Nd is not accompanied by a corresponding increase in Sr-87/Sr-86, which constrains both vein and wall-rock characteristics quite closely: the wall-rock was an enriched peridotite, whereas the vein assemblage comprised dominantly clinopyroxene and amphibole with a lesser, but essential, amount of phlogopite. REE-rich accessory phases such as apatite and perovskite were present in the vein, but were rare, so that the vein as a whole had high Sr/Nd. Rb-Sr age determination on Manning Massif bulk rocks gives an apparent isochron age of 40+/-1.2 Ma (I-Sr = 0.70762), although the age is probably falsified by the mixing processes during melting.</t>
  </si>
  <si>
    <t>Univ Gottingen, Mineral Petrol Inst, D-37077 Gottingen, Germany; Inst Precambrian Geol &amp; Geochronol, St Petersburg 199034, Russia</t>
  </si>
  <si>
    <t>University of Gottingen; Russian Academy of Sciences; Institute of Precambrian Geology &amp; Geochronology of the Russian Academy of Sciences</t>
  </si>
  <si>
    <t>Andronikov, AV (corresponding author), VNIIOkeangeol, St Petersburg, Russia.</t>
  </si>
  <si>
    <t>Foley, Stephen F/C-1923-2009; Belyatsky, Boris/V-6644-2019; Foley, Stephen/I-1759-2013</t>
  </si>
  <si>
    <t>Belyatsky, Boris/0000-0002-4022-9366;</t>
  </si>
  <si>
    <t>SPRINGER-VERLAG WIEN</t>
  </si>
  <si>
    <t>VIENNA</t>
  </si>
  <si>
    <t>SACHSENPLATZ 4-6, PO BOX 89, A-1201 VIENNA, AUSTRIA</t>
  </si>
  <si>
    <t>0930-0708</t>
  </si>
  <si>
    <t>MINER PETROL</t>
  </si>
  <si>
    <t>Mineral. Petrol.</t>
  </si>
  <si>
    <t>10.1007/BF01164153</t>
  </si>
  <si>
    <t>Geochemistry &amp; Geophysics; Mineralogy</t>
  </si>
  <si>
    <t>146DK</t>
  </si>
  <si>
    <t>WOS:000077412600005</t>
  </si>
  <si>
    <t>Foessel, A; Apostolopoulos, D; Whittaker, W</t>
  </si>
  <si>
    <t>Choset, HM; Gage, DW; Kachroo, P; Kourjanski, MA; deVries, MJ</t>
  </si>
  <si>
    <t>Radar sensor for an autonomous antarctic explorer</t>
  </si>
  <si>
    <t>MOBILE ROBOTS XIII AND INTELLIGENT TRANSPORTATION SYSTEMS</t>
  </si>
  <si>
    <t>Conference on Mobile Robots XIII and Intelligent Transportation Systems</t>
  </si>
  <si>
    <t>NOV 03-05, 1998</t>
  </si>
  <si>
    <t>BOSTON, MA</t>
  </si>
  <si>
    <t>Antarctica; GPR; robotic explorers; meteorite search</t>
  </si>
  <si>
    <t>The localization and identification of antarctic meteorites is a task of great scientific interest and with implications to planetary exploration. Autonomous search for antarctic meteorites presents a profound technical challenge. Ground Penetrating Radar (GPR) holds the prospect to safeguard antarctic robot from terrain dangers and detect subsurface objects. In January 1998, we validated a 500 MHz GPR sensor as part of as field robotic technology demonstration at Patriot Hills, Antarctica. We deployed the sensor from a sled and integrated with position and attitude instruments to perform field measurements. Data was acquired under different conditions and in multiple locations. The radar detected hidden crevasses from 50 cm. distance, thus showing its merit as a rover safeguarding device. It also localized 5 cm. rocks in snow and ice. Moreover, the radar data was used to characterize snow/ice/bedrock stratigraphy. GPS position measurements enabled ground truth and mapping of the location of hazards and interesting subsurface objects and features. This paper summarizes the experiments performed and discusses on the utility of the GPR sensor for autonomous antarctic robots.</t>
  </si>
  <si>
    <t>Carnegie Mellon Univ, Inst Robot, Pittsburgh, PA 15213 USA</t>
  </si>
  <si>
    <t>Carnegie Mellon University</t>
  </si>
  <si>
    <t>Foessel, A (corresponding author), Carnegie Mellon Univ, Inst Robot, 5000 Forbes Ave, Pittsburgh, PA 15213 USA.</t>
  </si>
  <si>
    <t>0-8194-2986-4</t>
  </si>
  <si>
    <t>Automation &amp; Control Systems; Engineering, Manufacturing; Optics; Transportation</t>
  </si>
  <si>
    <t>Automation &amp; Control Systems; Engineering; Optics; Transportation</t>
  </si>
  <si>
    <t>BM42S</t>
  </si>
  <si>
    <t>WOS:000078690700012</t>
  </si>
  <si>
    <t>Pedersen, L; Apostolopoulos, D; Whittaker, W; Benedix, G; Roush, T</t>
  </si>
  <si>
    <t>Sensing and data classification for robotic meteorite search</t>
  </si>
  <si>
    <t>Bayes networks; spectroscopy; pattern classification; computer vision; meteorites; autonomous science; sensor scheduling</t>
  </si>
  <si>
    <t>Upcoming missions to Mars and the moon call for highly autonomous robots with capability to perform intra-site exploration, reason about their scientific finds, and perform comprehensive onboard analysis of data collected. An ideal case for testing such technologies and robot capabilities is the robotic search for Antarctic meteorites. The successful identification and classification of meteorites depends on sensing modalities and intelligent evaluation of acquired data. Data from color imagery and spectroscopic measurements are used to identify terrestrial rocks and distinguish them from meteorites. However, because of the large number of rocks and the high cost and delay of using some of the sensors, it is necessary to eliminate as many meteorite candidates as possible using cheap long range sensors, such as color cameras. More resource consuming sensors will be held in reserve for the more promising samples only. Bayes networks are used as the formalism for incrementally combining data from multiple (not necessarily independent) sources in a statistically rigorous manner. Furthermore, they can be used to infer the utility of further sensor readings given currently known data. This information, along with cost estimates, is necessary for the sensing system to rationally schedule further sensor readings and deployments. This paper address issues associated with sensor selection and implementation of an architecture for automatic identification of rocks and meteorites from a mobile robot.</t>
  </si>
  <si>
    <t>Pedersen, L (corresponding author), Carnegie Mellon Univ, Inst Robot, Pittsburgh, PA 15213 USA.</t>
  </si>
  <si>
    <t>Benedix, Gretchen/L-1953-2018</t>
  </si>
  <si>
    <t>Benedix, Gretchen/0000-0003-0990-8878</t>
  </si>
  <si>
    <t>WOS:000078690700016</t>
  </si>
  <si>
    <t>Parish, TR; Bromwich, DH</t>
  </si>
  <si>
    <t>A case study of Antarctic katabatic wind interaction with large-scale forcing</t>
  </si>
  <si>
    <t>MONTHLY WEATHER REVIEW</t>
  </si>
  <si>
    <t>HIGH SOUTHERN LATITUDES; ROSS ICE SHELF; SIMULATION; CLIMATE; REGIME; FLOW</t>
  </si>
  <si>
    <t>Surface pressure decreases of up to 20 hPa occurred over much of the Antarctic continent during a 4-day midwinter period of 1988. The widespread change in the pressure held accompanied intense cyclonic activity to the north of the ice sheet. The equatorward mass transport across the Antarctic coastline resulted in a redistribution of atmospheric pressure that extended to the subtropics of the Southern Hemisphere. Most of the mass flux from Antarctica was the result of low-lever processes and appears tied to the katabatic wind circulation. The observed surface pressure decrease over the continent reflects a perturbation of the mean meridional circulation between Antarctica and the subpolar latitudes by synoptic-scale processes. Zonally averaged circulations over Antarctica were examined using output from the European Centre for Medium-Range Weather Forecasts model. Results suggest that only a poorly defined return branch of the meridional circulation exists in the middle and upper troposphere. This southward-directed flow does not compensate for the northward mass transport provided by the katabatic wind outflow in the lower atmosphere. Isallobaric contours over the Antarctic ice sheet roughly match the area of the large-scale drainage catchment associated with katabatic wind transport through the Ross Sea sector. An intense extratropical cyclone was present in the circumpolar oceanic belt to the north of the continent. The horizontal pressure gradient associated with the cyclone prompted enhanced drainage off the high interior plateau. The resulting katabatic flow issued from the continent through a narrow corridor across the Ross Ice Shelf and out over the Southern Ocean.</t>
  </si>
  <si>
    <t>Univ Wyoming, Dept Atmospher Sci, Laramie, WY 82071 USA; Ohio State Univ, Byrd Polar Res Ctr, Polar Meteorol Grp, Columbus, OH 43210 USA</t>
  </si>
  <si>
    <t>University of Wyoming; University System of Ohio; Ohio State University</t>
  </si>
  <si>
    <t>Parish, TR (corresponding author), Univ Wyoming, Dept Atmospher Sci, POB 3038,Engn Bldg,Room 6037, Laramie, WY 82071 USA.</t>
  </si>
  <si>
    <t>0027-0644</t>
  </si>
  <si>
    <t>MON WEATHER REV</t>
  </si>
  <si>
    <t>Mon. Weather Rev.</t>
  </si>
  <si>
    <t>10.1175/1520-0493(1998)126&lt;0199:ACSOAK&gt;2.0.CO;2</t>
  </si>
  <si>
    <t>YM955</t>
  </si>
  <si>
    <t>WOS:000071118600010</t>
  </si>
  <si>
    <t>Wanwimolruk, S; Zhang, H; Coville, PF; Saville, DJ; Davis, LS</t>
  </si>
  <si>
    <t>In vitro hepatic metabolism of CYP3A-mediated drug, quinine in the Antarctic Adelie penguins</t>
  </si>
  <si>
    <t>NAUNYN-SCHMIEDEBERGS ARCHIVES OF PHARMACOLOGY</t>
  </si>
  <si>
    <t>Univ Otago, Sch Pharm, Dunedin, New Zealand</t>
  </si>
  <si>
    <t>0028-1298</t>
  </si>
  <si>
    <t>1432-1912</t>
  </si>
  <si>
    <t>N-S ARCH PHARMACOL</t>
  </si>
  <si>
    <t>Naunyn-Schmiedebergs Arch. Pharmacol.</t>
  </si>
  <si>
    <t>P43</t>
  </si>
  <si>
    <t>R416</t>
  </si>
  <si>
    <t>Pharmacology &amp; Pharmacy</t>
  </si>
  <si>
    <t>107KW</t>
  </si>
  <si>
    <t>WOS:000075207800174</t>
  </si>
  <si>
    <t>Coscia, MR; Oreste, U</t>
  </si>
  <si>
    <t>LeGal, Y; Halvorson, HO</t>
  </si>
  <si>
    <t>Immunological investigations on Antarctic fish parasitism by nematodes</t>
  </si>
  <si>
    <t>NEW DEVELOPMENTS IN MARINE BIOTECHNOLOGY</t>
  </si>
  <si>
    <t>4th International Marine Biotechnology Conference (IMBC 97)</t>
  </si>
  <si>
    <t>SEP 22-29, 1997</t>
  </si>
  <si>
    <t>SORRENTO, ITALY</t>
  </si>
  <si>
    <t>CNR, Inst Protein Biochem &amp; Enzymol, Naples, Italy</t>
  </si>
  <si>
    <t>Consiglio Nazionale delle Ricerche (CNR); Istituto di Biochimica delle Proteine (IBP-CNR)</t>
  </si>
  <si>
    <t>Coscia, MR (corresponding author), CNR, Inst Protein Biochem &amp; Enzymol, Naples, Italy.</t>
  </si>
  <si>
    <t>Coscia, Maria Rosaria/AAU-1808-2021</t>
  </si>
  <si>
    <t>0-306-45907-8</t>
  </si>
  <si>
    <t>Biotechnology &amp; Applied Microbiology; Fisheries; Marine &amp; Freshwater Biology</t>
  </si>
  <si>
    <t>BL25G</t>
  </si>
  <si>
    <t>WOS:000074896700045</t>
  </si>
  <si>
    <t>Jonkers, HA</t>
  </si>
  <si>
    <t>The Cockburn Island formation; Late Pliocene interglacial sedimentation in the James Ross Basin, northern Antarctic Peninsula</t>
  </si>
  <si>
    <t>NEWSLETTERS ON STRATIGRAPHY</t>
  </si>
  <si>
    <t>CRETACEOUS STRATIGRAPHY; ISOTOPE STRATIGRAPHY; EOCENE</t>
  </si>
  <si>
    <t>The longest-known pectinid-bearing deposit in the Antarctic, the Pecten-conglomerate of Cockburn Island in the James Ross Island group, northern Antarctic Peninsula, is herein formally named the Cockburn Island Formation. A detailed account of its lithology, palaeontology, age and depositional environment is given. Deposition is thought to have taken place during a late Pliocene interglacial episode. The Cockburn Island Formation is younger than 2.8 Ma and is a possible correlative of the Scallop Hill Formation in the McMurdo Sound region, East Antarctica.</t>
  </si>
  <si>
    <t>Jonkers, HA (corresponding author), British Antarctic Survey, High Cross,Madingley Rd, Cambridge CB3 0ET, England.</t>
  </si>
  <si>
    <t>GEBRUDER BORNTRAEGER</t>
  </si>
  <si>
    <t>JOHANNESSTR 3A, D-70176 STUTTGART, GERMANY</t>
  </si>
  <si>
    <t>0078-0421</t>
  </si>
  <si>
    <t>NEWSL STRATIGR</t>
  </si>
  <si>
    <t>Newsl. Stratigr.</t>
  </si>
  <si>
    <t>114AY</t>
  </si>
  <si>
    <t>WOS:000075588000001</t>
  </si>
  <si>
    <t>Watanabe, I; Yamamoto, Y; Honda, K; Fujise, Y; Kato, H; Tanabe, S; Tatsukawa, R</t>
  </si>
  <si>
    <t>Comparison of mercury accumulation in antarctic minke whale collected in 1980-82 and 1984-86</t>
  </si>
  <si>
    <t>NIPPON SUISAN GAKKAISHI</t>
  </si>
  <si>
    <t>Japanese</t>
  </si>
  <si>
    <t>STENELLA-COERULEOALBA; HARBOR PORPOISES; STRIPED DOLPHIN; MARINE MAMMALS; HEAVY-METALS; SELENIUM; CONTAMINATION; SEALS; LIVER; POLLUTANTS</t>
  </si>
  <si>
    <t>Mercury concentrations were determined in the liver of Antarctic minke whale (Balaenoptera acutorostrata) collected during 1980-82 and 1984-86, and compared in view of age-dependent accumulation. No significant sexual and geographical variations were observed, while higher mercury concentrations were found in the Liver of Antarctic minke whales caught in the 1984-86 season rather than in 1980-82 by commercial whaling. Mercury concentration elevated with age until maturity and then revealed a steady state or slightly declined. However, the age showing maximum level of mercury was found to be older in 1984-86 than in 1980-82. This observation might be attributable to temporal changes in feeding amounts, resulting from disturbance of the Antarctic ecosystem such as uncontrolled management of whale resources in the past.</t>
  </si>
  <si>
    <t>Ehime Univ, Dept Environm Conservat, Matsuyama, Ehime 790, Japan; MIURA Co Ltd, Matsuyama, Ehime 79926, Japan; Inst Cetacean Res, Tokyo 104, Japan; Natl Res Inst Far Seas Fisheries, Shimizu, Shizuoka 424, Japan; Kochi Univ, Kochi 780, Japan</t>
  </si>
  <si>
    <t>Ehime University; Japan Fisheries Research &amp; Education Agency (FRA); Kochi University</t>
  </si>
  <si>
    <t>Watanabe, I (corresponding author), Ehime Univ, Dept Environm Conservat, Matsuyama, Ehime 790, Japan.</t>
  </si>
  <si>
    <t>Nomiyama, Kei/G-6950-2013; Watanabe, Izumi/C-2086-2013; Tanabe, Shinsuke/G-6950-2013</t>
  </si>
  <si>
    <t>Nomiyama, Kei/0000-0002-8012-3806; Tanabe, Shinsuke/0000-0002-0911-6232</t>
  </si>
  <si>
    <t>JAPAN SOC SCI FISHERIES SCI</t>
  </si>
  <si>
    <t>C/O TOKYO UNIV FISHERIES, 5-7, 4-CHOME, KONAN, MINATO-KU, TOKYO, 108, JAPAN</t>
  </si>
  <si>
    <t>0021-5392</t>
  </si>
  <si>
    <t>NIPPON SUISAN GAKK</t>
  </si>
  <si>
    <t>Nippon Suisan Gakkaishi</t>
  </si>
  <si>
    <t>Fisheries</t>
  </si>
  <si>
    <t>263HW</t>
  </si>
  <si>
    <t>WOS:000084120100014</t>
  </si>
  <si>
    <t>Sancho, LG; Schroeter, B; Valladares, F</t>
  </si>
  <si>
    <t>Umbilicaria kappeni (Umbilicariaceae) a new lichen species from Antarctica with multiple mechanisms for the simultaneous dispersal of both symbionts</t>
  </si>
  <si>
    <t>NOVA HEDWIGIA</t>
  </si>
  <si>
    <t>Umbilicariaceae; Umbilicaria kappeni sp. nova.; Antarctica; lichens; taxonomy; reproduction; morphology; biogeography</t>
  </si>
  <si>
    <t>TELEOMORPH-ANAMORPH RELATIONSHIPS; GENUS UMBILICARIA; INTRASPECIFIC VARIABILITY; STRATEGIES; LASALLIA</t>
  </si>
  <si>
    <t>The lichen Umbilicaria kappeni Sancho, Schroeter &amp; Valladares is described as new from the western Antarctica. In the Antarctic the genus Umbilicaria is represented by eight species so far. Sexual reproduction is common in only two of these species, while thalloconidia are present in seven of them. Umbilicaria kappeni does neither have thalloconidia nor apothecia but exhibits a wide variety of asexual propagules: soredia, adventive lobes, thallyles. The most interesting feature of these propagules in comparison to the thalloconidia is their capability for the simultaneous propagation of the two symbionts and not only of the mycobiont. Umbilicaria kappeni is distributed in the South Orkney Islands, South Shetland Islands and the western side of the Antarctic Peninsula.</t>
  </si>
  <si>
    <t>Univ Complutense Madrid, Fac Farm, Dept Biol Vegetal 2, E-28040 Madrid, Spain; Univ Kiel, Inst Bot, D-24098 Kiel, Germany</t>
  </si>
  <si>
    <t>Complutense University of Madrid; University of Kiel</t>
  </si>
  <si>
    <t>Sancho, LG (corresponding author), Univ Complutense Madrid, Fac Farm, Dept Biol Vegetal 2, E-28040 Madrid, Spain.</t>
  </si>
  <si>
    <t>Sancho, leopoldo G./H-2974-2013; SANCHO, LEOPOLDO/G-9120-2015; Valladares, Fernando/K-9406-2014</t>
  </si>
  <si>
    <t>SANCHO, LEOPOLDO/0000-0002-4751-7475; Valladares, Fernando/0000-0002-5374-4682</t>
  </si>
  <si>
    <t>0029-5035</t>
  </si>
  <si>
    <t>Nova Hedwigia</t>
  </si>
  <si>
    <t>152WB</t>
  </si>
  <si>
    <t>WOS:000077799200001</t>
  </si>
  <si>
    <t>de Leeuw, C; Aptroot, A; van Zanten, B</t>
  </si>
  <si>
    <t>The lichen and bryophyte vegetation of Cuverville Island, Antarctica</t>
  </si>
  <si>
    <t>PENINSULA</t>
  </si>
  <si>
    <t>In the Antarctic summer of 1993 the vegetation of Cuverville Island, a small island near the west coast of the Antarctic Peninsula, was mapped and described. Eleven different plant communities of algae, lichens, bryophytes and spermatophytes have been distinguished. The 51 species Vary from endemic to cosmopolitan species and occupy a great variety of habitats, which are described too.</t>
  </si>
  <si>
    <t>Univ Groningen, Arctic Ctr, NL-9700 AS Groningen, Netherlands; Cent Bur Schimmelcultures, NL-3740 AG Baarn, Netherlands; Univ Groningen, Lab Plant Ecol, NL-9750 AA Haren, Netherlands</t>
  </si>
  <si>
    <t>University of Groningen; University of Groningen</t>
  </si>
  <si>
    <t>de Leeuw, C (corresponding author), Univ Groningen, Arctic Ctr, POB 716, NL-9700 AS Groningen, Netherlands.</t>
  </si>
  <si>
    <t>Aptroot, Andre/0000-0001-7949-2594</t>
  </si>
  <si>
    <t>WOS:000077799200011</t>
  </si>
  <si>
    <t>Boumaggard, EH; Gayet, J; Bobier, C; Machain-Castillo, ML; Aguayo-Camargo, E</t>
  </si>
  <si>
    <t>Distribution of sediments on the margin of the Gulf of Tehuantepec (east Pacific). Example of tectonic-eustatic interaction</t>
  </si>
  <si>
    <t>OCEANOLOGICA ACTA</t>
  </si>
  <si>
    <t>CONTINENTAL-SHELF; MEXICO; SEA; FORAMINIFERA; RADIOLARIA; PAPAGAYO; ZONE</t>
  </si>
  <si>
    <t>During the PROGEMA I cruise which took place on the south-western Pacific coast of Mexico (between 14 degrees and 16 degrees N, 92 degrees and 96 degrees W), 3.5 kHz echo-sounding profiles, surface samples and cores as well as hydrological and oxygen minimum measurements down to 2250 m water depth were made in the Gulf of Tehuantepec. Chemical, sedimentological, mineralogical, X-ray and BEM analyses of waters, core and surface samples provided new data which permit a better knowledge of the Gulf of Tehuantepec margin, where tectonic activity is due to an active subduction. On the shelf of the gulf, the distribution pattern of quaternary deposits is affected by a double tectonic forcing and by eustatic oscillations of the sea level. The first tectonic control is linked to the existence of north-south tectonic troughs in the Tehuantepec Isthmus, in which the atmospheric circulation between the Gulfs of Mexico and Tehuantepec is accelerated by the Venturi effect. The resulting winds, called Tehuanos, play an important role in the forcing of surface circulation in the Gulf of Tehuantepec, inducing a deviation of the general circulation and thus forcing the distribution pattern of terrigenous sediment supply according to two physiographically and mineralogically distinct provinces, inherited from the past tectonic evolution, which are separated by the Tehuantepec axis. - A southeastern province related to the Caribbean Plate and fed by: (1) the rivers draining the Chiapas Massif; and (2) the Costa-Rica Current driving tropical and subtropical waters from Central America. - A northwestern province part of the North American Plate and fed by: (1) the Rio Tehuantepec which drains the Sierra de Oaxaca; and (2) the Californian Current. The second tectonic control is linked to the tectonic structure of the margin influenced by: - shallow banks where the products of a present-day phosphatogenesis are concentrated because they are swept by upwellings. The latter are reinforced because the banks are situated south of the wind corridor; - tectonic depressions acting as sediment traps; - numerous canyons cutting the slope along brittle accidents, driving weak turbidity currents but which play an important role in the forcing of upwelling currents. Antarctic diatoms are found which are conveyed by the deep circulation from the South-Eastern Pacific and provide evidence that Antarctic Cold Water masses (AABW) rise towards the shelf. The influence of eustatism is attested by the presence on the shelf of the Gulf of Tehuantepec of three paleoshorelines at 40, 75 and 130 m water depth, linked to the Wurmian sea level and to the postglacial sea level rise as on many passive margins. (C) Elsevier, Paris.</t>
  </si>
  <si>
    <t>Univ Bordeaux 1, URA CNRS 197, Dept Geol &amp; Oceanog, F-33405 Talence, France; Univ Bordeaux 1, Lab CIBAMAR Cinemat Bassins &amp; Marges, F-33405 Talence, France; Univ Nacl Autonoma Mexico, Inst Ciencias Mar &amp; Limnol, Lab Geol Marina, Mexico City 04510, DF, Mexico</t>
  </si>
  <si>
    <t>Universite de Bordeaux; Universite de Bordeaux; Universidad Nacional Autonoma de Mexico</t>
  </si>
  <si>
    <t>Univ Bordeaux 1, URA CNRS 197, Dept Geol &amp; Oceanog, Ave Fac, F-33405 Talence, France.</t>
  </si>
  <si>
    <t>MACHAIN-CASTILLO, MARIA LUISA/0000-0002-4973-4967</t>
  </si>
  <si>
    <t>GAUTHIER-VILLARS/EDITIONS ELSEVIER</t>
  </si>
  <si>
    <t>23 RUE LINOIS, 75015 PARIS, FRANCE</t>
  </si>
  <si>
    <t>0399-1784</t>
  </si>
  <si>
    <t>OCEANOL ACTA</t>
  </si>
  <si>
    <t>Oceanol. Acta</t>
  </si>
  <si>
    <t>10.1016/S0399-1784(98)80046-7</t>
  </si>
  <si>
    <t>ZF187</t>
  </si>
  <si>
    <t>WOS:000072872400002</t>
  </si>
  <si>
    <t>Foden, PR; Spencer, R; Vassie, JM</t>
  </si>
  <si>
    <t>IEEE; IEEE</t>
  </si>
  <si>
    <t>An instrument for accurate sea level and wave measurement</t>
  </si>
  <si>
    <t>OCEANS'98 - CONFERENCE PROCEEDINGS, VOLS 1-3</t>
  </si>
  <si>
    <t>IEEE OCEANS Conference and Exhibition on Engineering for Sustainable Use of the Oceans (OCEANS 98)</t>
  </si>
  <si>
    <t>SEP 28-OCT 01, 1998</t>
  </si>
  <si>
    <t>NICE, FRANCE</t>
  </si>
  <si>
    <t>Measurements of sea level in remote areas such as the Arctic, Antarctic and at oceanic islands are the responsibility of research organisations such as the Proudman Oceanographic Laboratory in the UK. As parr of its South Atlantic network a newly developed instrument was installed at St Helena in the South Atlantic during April 1997 to improve the operational characteristics of this station which was first installed in 1984. Data are wide in near real-time. The sea unit measures sub-surface pressure using a pair of quartz crystal sensors. The primary sensor measures the full range of sea level whereas the second sensor is attached to a datum tube fixed at a known position relative To some local benchmark;. The latter is used to fix the full measurements accurately (2 mm) to the local levelling network. One of the main functions is to allow remote access by the operator in the UK to reprogram the system or to investigate fault conditions. The basic sampling scheme of the station consists of a sea level measurement made every 15 minutes, from both the full and half ride sensors together with barometric pressure, air and sea temperature. Once each day the device switches To a rapid sampling mode and records wave amplitude for I hour.</t>
  </si>
  <si>
    <t>Bidston Observ, Proudman Oceanog Lab, Ctr Coastal &amp; Marine Sci, Birkenhead L43 7RA, Merseyside, England</t>
  </si>
  <si>
    <t>NERC National Oceanography Centre</t>
  </si>
  <si>
    <t>Foden, PR (corresponding author), Bidston Observ, Proudman Oceanog Lab, Ctr Coastal &amp; Marine Sci, Birkenhead L43 7RA, Merseyside, England.</t>
  </si>
  <si>
    <t>0-7803-5045-6</t>
  </si>
  <si>
    <t>Acoustics; Engineering, Marine; Engineering, Electrical &amp; Electronic; Instruments &amp; Instrumentation</t>
  </si>
  <si>
    <t>Acoustics; Engineering; Instruments &amp; Instrumentation</t>
  </si>
  <si>
    <t>BM30T</t>
  </si>
  <si>
    <t>WOS:000078340800083</t>
  </si>
  <si>
    <t>Bono, R; Bruzzone, G; Bruzzone, G; Caccia, M; Spirandelli, E; Veruggio, G</t>
  </si>
  <si>
    <t>ROMEO goes to Antarctica</t>
  </si>
  <si>
    <t>This paper deals with the first operational campaign of Romeo, the latest Unmanned Underwater Vehicle developed at CNR-IAN. Romeo has been designed as an operational testbed to perform research on intelligent vehicles in the real subsea environment. Its main application field is the development of advanced methodologies for marine science. A brief description of the mechanical design and of the control, computing and software architecture of Romeo is given and its exploitation in Antarctica is reported. During the XIII Italian Expedition to Terra Nova Bay (29 October 1997 - 26 February 1998) it has been exploited for: a) collecting data about under-ice biological processes; b) testing under-ice performances of a set of acoustic devices for autonomous navigation and guidance; c) collecting benthic data in the Marine Antarctic Specially Protected Area established nearby the Italian TNB Station.</t>
  </si>
  <si>
    <t>Ist Automaz Navale, CNR, I-16149 Genoa, Italy</t>
  </si>
  <si>
    <t>Bono, R (corresponding author), Ist Automaz Navale, CNR, Via De Marini 6, I-16149 Genoa, Italy.</t>
  </si>
  <si>
    <t>ric@ian.ge.cnr.it; gabry@ian.ge.cnr.it; gio@ian.ge.cnr.it; max@ian.ge.cnr.it; edo@ian.ge.cnr.it; gian@ian.ge.cnr.it</t>
  </si>
  <si>
    <t>Bruzzone, Gabriele/B-5771-2015; Veruggio, Gianmarco/B-9405-2013; Caccia, Massimo/P-6407-2018</t>
  </si>
  <si>
    <t>Bruzzone, Gabriele/0000-0002-9569-1160; Caccia, Massimo/0000-0002-4482-4541</t>
  </si>
  <si>
    <t>WOS:000078340800313</t>
  </si>
  <si>
    <t>Kitahara, T; Kawahara, TD; Kobayashi, F; Saito, Y; Nomura, A</t>
  </si>
  <si>
    <t>Singh, UN; Hu, H; Wang, G</t>
  </si>
  <si>
    <t>Sodium temperature lidar system for measuring the Antarctic mesopause region at Syowa station in 1999, 2000 and 2001</t>
  </si>
  <si>
    <t>OPTICAL REMOTE SENSING FOR INDUSTRY AND ENVIRONMENTAL MONITORING</t>
  </si>
  <si>
    <t>Optical Remote Sensing for Industry and Environmental Monitoring</t>
  </si>
  <si>
    <t>SEP 15-17, 1998</t>
  </si>
  <si>
    <t>sodium layer; sodium lidar; temperature lidar; Antarctica; mesopause</t>
  </si>
  <si>
    <t>We are planning to measure the Antarctic mesopause region by a sodium temperature lidar at Syowa station (69 degrees 00' S, 39 degrees 35' E) for three years, 1999-2001 as a part of the 5(th) Campaign of Japanese Antarctic Research Expedition (JARE 40 - 42). The objective of this campaign is to clarify the mechanism of energetic interaction between the lower thermosphere and the upper mesosphere through the mesopause region over Antarctica. Lidar measurements will be made cooperatively with a MF radar and a Fabry-Perot Doppler imager. The pulse laser tuned to the sodium D-2 resonance line (589 nm) can be obtained by a sum frequency of two injection seeded Nd:YAG lasers (1064 nm and 1319 nm) with a narrow spectral width below 0.2pm. The temperature measurement can be made by detecting the Doppler broadening of sodium D, fluorescence spectrum by tuning laser wavelength alternately at two points of its spectrum. Scattered photons are collected by a Dall-Kirkham Cassegrain telescope of 0.5m in diameter and detected in photoncounting mode with a gated photomultiplier tube (PMT). The photons are integrated with a range-gated multichannel scaler and processed with a personal computer. Daytime measurements will be made by using an extremely narrow band Faraday filter.</t>
  </si>
  <si>
    <t>Shinshu Univ, Fac Engn, Nagano 3808553, Japan</t>
  </si>
  <si>
    <t>Shinshu University</t>
  </si>
  <si>
    <t>Kitahara, T (corresponding author), Shinshu Univ, Fac Engn, Wakasato 500, Nagano 3808553, Japan.</t>
  </si>
  <si>
    <t>0-8194-2963-5</t>
  </si>
  <si>
    <t>10.1117/12.319580</t>
  </si>
  <si>
    <t>Optics; Imaging Science &amp; Photographic Technology</t>
  </si>
  <si>
    <t>BL83K</t>
  </si>
  <si>
    <t>WOS:000076865900036</t>
  </si>
  <si>
    <t>Ravegnani, F; Kostadinov, I; Giovanelli, G</t>
  </si>
  <si>
    <t>Wang, J; Wu, B; Ogawa, T; Guan, ZH</t>
  </si>
  <si>
    <t>Nitrogen dioxide monitoring with an automatic DOAS station at Terra Nova Bay (Antarctica)</t>
  </si>
  <si>
    <t>OPTICAL REMOTE SENSING OF THE ATMOSPHERE AND CLOUDS</t>
  </si>
  <si>
    <t>Conference on Optical Remote Sensing of the Atmosphere and Clouds</t>
  </si>
  <si>
    <t>nitrogen dioxide; stratosphere; Antarctica; DOAS</t>
  </si>
  <si>
    <t>During the last few years W-Vis spectrometers were developed at the FISBAT Institute and are used for application of Differential Optical Absorption Spectroscopy (DOAS) method to detect many atmospheric trace gases (ozone, NO2, OClO BrO, etc.) playing important role in the stratospheric chemistry. After several tests both in laboratory and in Antarctic region, one of the spectrometers, called GASCOD2/2, was modified in collaboration with ENEA for unattended and automatic measurement in extreme high-latitude environment. The instrument was installed in December 1995 in the Italian Station at Terra Nova Bay (TNB). The aim of this research is to study the denitrification processes during the formation of the so-called ozone hole over the Antarctic region. The preliminary result for the first year of nitrogen dioxide measurement are presented and discussed.</t>
  </si>
  <si>
    <t>CNR, FISBAT, I-40129 Bologna, Italy</t>
  </si>
  <si>
    <t>Ravegnani, F (corresponding author), CNR, FISBAT, Via Gobetti 101, I-40129 Bologna, Italy.</t>
  </si>
  <si>
    <t>Ravegnani, Fabrizio/A-7800-2009; Ravegnani, Fabrizio/AAM-5467-2021</t>
  </si>
  <si>
    <t>Ravegnani, Fabrizio/0000-0003-0735-9297; Ravegnani, Fabrizio/0000-0003-0735-9297</t>
  </si>
  <si>
    <t>0-8194-2960-0</t>
  </si>
  <si>
    <t>10.1117/12.317768</t>
  </si>
  <si>
    <t>Meteorology &amp; Atmospheric Sciences; Remote Sensing; Optics</t>
  </si>
  <si>
    <t>BL84H</t>
  </si>
  <si>
    <t>WOS:000076911000045</t>
  </si>
  <si>
    <t>Mudge, SM; East, JA; Bebianno, MJ; Barreira, LA</t>
  </si>
  <si>
    <t>Fatty acids in the Ria Formosa Lagoon, Portugal</t>
  </si>
  <si>
    <t>ORGANIC GEOCHEMISTRY</t>
  </si>
  <si>
    <t>fatty acids; Ria Formosa; lagoon; Portugal; biomarkers; phytoplankton</t>
  </si>
  <si>
    <t>ANTARCTIC COPEPODS; ORGANIC-MATTER; COMMUNITY STRUCTURE; LIPID-COMPOSITION; WATER; SEA; PHYTOPLANKTON; MICROALGAE; BIOMARKERS; MARKERS</t>
  </si>
  <si>
    <t>Fatty acids in surface sediments were analysed from 59 sites in the Ria Formosa Lagoon, Portugal as part of a wider study on trace organic matter in this system. A total of 170 different fatty acids were quantified as their methyl esters. using GC-MS techniques. The TOC in the sediments ranged from 0.15% in sandy areas to 8.3% in muddy regions. The total fatty acids in the sediments ranged between 0.3 to 67.5 mu g.g(-1) the latter accounting for similar to 0.5% of the TOC. Individual compounds, ratios and multivariate statistical methods were used to identify the sources and their spatial variations. The sediments in the region near Armona were rich in phytoplankton biomarkers (e.g. 16:1 omega 7/16.0 and 16 carbon PUFAs), those near Fare and Olhao were comprised of odd chain length fatty acids, their branched derivatives, 18:1 omega 7 and 3-OH compounds; these suggest bacterial biomass linked to the known sewage discharges in these areas. Limited regions of terrestrial influence could be seen through use of the long chain (&gt;22 carbon) saturates. The concentrations of 20:4 omega 6 and 20:5 omega 3 were high in regions of marine production. Multivariate statistical techniques (PLS, PCA and cluster analysis) were used to interpret the data. PCA was found to be the most useful in this case and major axes representing phytoplankton, terrestrial organic matter and bacterial biomass were extracted from the data matrix, The spatial variation of each component could be linked to observations of sewage and phytoplankton input. (C) 1998 Elsevier Science Ltd. All rights reserved.</t>
  </si>
  <si>
    <t>Univ Wales, Sch Ocean Sci, Menai Bridge LL59 5EY, Bangor, Wales; Univ Algarve, Unidade Ciencias &amp; Tecnol Recursos Aquat, P-8000 Faro, Portugal</t>
  </si>
  <si>
    <t>Universidade do Algarve</t>
  </si>
  <si>
    <t>Mudge, SM (corresponding author), Univ Wales, Sch Ocean Sci, Menai Bridge LL59 5EY, Bangor, Wales.</t>
  </si>
  <si>
    <t>Bebianno, Maria João/L-3761-2014; Barreira, Luísa/M-4164-2013</t>
  </si>
  <si>
    <t>Bebianno, Maria João/0000-0003-1492-8566; Barreira, Luísa/0000-0002-4077-855X; Mudge, Stephen/0000-0002-5198-0841</t>
  </si>
  <si>
    <t>0146-6380</t>
  </si>
  <si>
    <t>ORG GEOCHEM</t>
  </si>
  <si>
    <t>Org. Geochem.</t>
  </si>
  <si>
    <t>10.1016/S0146-6380(98)00049-7</t>
  </si>
  <si>
    <t>153QQ</t>
  </si>
  <si>
    <t>WOS:000077844100011</t>
  </si>
  <si>
    <t>Volkman, JK; Barrett, SM; Blackburn, SI; Mansour, MP; Sikes, EL; Gelin, F</t>
  </si>
  <si>
    <t>Microalgal biomarkers: A review of recent research developments</t>
  </si>
  <si>
    <t>18th International Meeting on Organic Geochemistry</t>
  </si>
  <si>
    <t>SEP 22-26, 1997</t>
  </si>
  <si>
    <t>MAASTRICHT, NETHERLANDS</t>
  </si>
  <si>
    <t>biomarkers; fatty acids; sterols; alkenones; alkyl diols; hydrocarbons; alcohols; chemotaxonomy; microalgae; algaenans</t>
  </si>
  <si>
    <t>CHROMATOGRAPHY-MASS-SPECTROMETRY; ANTARCTIC SEA-ICE; FATTY-ACIDS; LIPID-COMPOSITION; GEOCHEMICAL SIGNIFICANCE; FRESH-WATER; PALEOTEMPERATURE ESTIMATION; BIOLOGICAL MARKERS; EMILIANIA-HUXLEYI; 4-METHYL STEROLS</t>
  </si>
  <si>
    <t>Microalgae are major sources of lipids in lacustrine and marine environments. This paper provides a review of some recent advances in our knowledge of the wide variety of lipid types that have been isolated from microalgae with an emphasis on those likely to be useful biomarkers for identifying sources of organic matter in sediments. Extensive data are now available on the fatty acids in all of the major classes of microalgae and some useful characteristic features have been observed in the abundance of particular polyunsaturated fatty acids. Despite several decades of study, it is now apparent that some of the biosynthetic steps leading to the formation of these unsaturated fatty acids are still not known with certainty as shown by the occurrence of C(28) polyunsaturated fatty acids in some dino-flagellates and the likely involvement of chain-shortening reactions. Considerable data have also been obtained on the sterols in microalgae, but some classes of organisms are still not well documented (e.g. cryptomonads, eustigmatophytes, xanthophytes and raphidophytes). Diatoms show a great variety of sterol compositions and no sterol appears to be either unique or representative. However, 24-methylene-cholesterol in sediments is probably derived in most cases from diatoms. High contents of C(25) highly branched isoprenoid (HBI) alkenes have been identified in the diatom Haslea ostrearia and both C(25) and C(30) HBI alkenes have been found in diatom strains thought to be Rhizosolenia setigera. Genetic and environmental factors appear to be important controls on the relative abundances of the various homologues identified. Microalgae are also suspected to be a source of long-chain saturated Fatty acids having an even carbon number predominance and of long-chain alkanes with no odd over even carbon number predominance, although the available data are not conclusive. An exciting development in recent years is the identification of highly aliphatic biopolymers (algaenans) in some species of marine and freshwater green algae and eustigmatophytes. This material persists in sediments and may be a source of the alkyl chains in ancient kerogens and crude oil constituents. Algaenans do not occur in all algal species and may be absent from some classes, such as diatoms. This implies that the organic matter preserved in sediments is strongly influenced by a subset of the microalgal contributors of organic matter. Although reasonable sources have been identified for many of the lipids in sediments, there are still many gaps in our knowledge and further studies are clearly required. (C) 1998 Elsevier Science Ltd. All rights reserved.</t>
  </si>
  <si>
    <t>CSIRO, Div Marine Res, Hobart, Tas 7001, Australia; Antarctic CRC, Hobart, Tas 7001, Australia; AGSO, Hobart, Tas 7001, Australia; Netherlands Inst Sea Res, NL-1790 AB Den Burg, Texel, Netherlands</t>
  </si>
  <si>
    <t>Commonwealth Scientific &amp; Industrial Research Organisation (CSIRO); Geoscience Australia; Utrecht University; Royal Netherlands Institute for Sea Research (NIOZ)</t>
  </si>
  <si>
    <t>Volkman, JK (corresponding author), CSIRO, Div Marine Res, GPO Box 1538, Hobart, Tas 7001, Australia.</t>
  </si>
  <si>
    <t>john.volkman@marine.csiro.au</t>
  </si>
  <si>
    <t>Blackburn, Susan I/M-9955-2013; Sikes, Elisabeth/HPE-8194-2023; Volkman, John K/A-6592-2008</t>
  </si>
  <si>
    <t>5-7</t>
  </si>
  <si>
    <t>10.1016/S0146-6380(98)00062-X</t>
  </si>
  <si>
    <t>156HQ</t>
  </si>
  <si>
    <t>WOS:000077995900014</t>
  </si>
  <si>
    <t>Summons, RE; Franzmann, PD; Nichols, PD</t>
  </si>
  <si>
    <t>Carbon isotopic fractionation associated with methylotrophic methanogenesis</t>
  </si>
  <si>
    <t>biomarkers; stable isotopes; carbon isotopic fractionation; compound-specific C-13 analysis; methanogenesis; methanogens; laboratory culture</t>
  </si>
  <si>
    <t>METHANOSARCINA-BARKERI; METHANOCOCCOIDES-BURTONII; METHANE FORMATION; MARINE-SEDIMENTS; SP-NOV; BACTERIA; ACETATE; HYDROCARBONS; LIPIDS; BIOGEOCHEMISTRY</t>
  </si>
  <si>
    <t>Methanogenesis from noncompetitive substrates such as trimethylamine (TMA) and dimethylsulfide (DMS) may be quantitatively important in global methane budgets. This is because choline, glycine betaine, trimethylamine-N-oxide and related compounds, the precursors of TMA, are produced abundantly and ubiquitously by prokaryotic and eukaryotic organisms, particularly those from marine environments. Noncompetitive substrates may be a particularly important source for the methane which occurs in the surface mixed layer of the ocean at or above saturation levels. In this study, we measured isotopic fractionation factors for methane and polyisoprenoid lipids Formed by methanogens utilizing trimethylamine as their principal carbon source. Methanosarcina barkeri showed isotope effects (epsilon) of 50.2 parts per thousand for the conversion of TMA to methane and 20.2 parts per thousand for TMA-biomass. Moreover, phytanyl chains of M. barkeri polar lipids were depleted by as much as 18 parts per thousand compared to biomass as was the co-occurring hydrocarbon PME. For the Antarctic methanogen Methanococcoides burtonii we measured even greater epsilon values of 71 parts per thousand (TMA to CH4), 49.6 parts per thousand (TMA to biomass) and 79.9 parts per thousand (TMA to phytanyl ether). It should be stressed that these large fractionations represent the maximum or near maximum values possible when the substrate concentrations are non-limiting. The isotopic compositions of methane and methanogen lipid formed by these organisms in natural environments will depend on how completely the substrates are consumed and on how this carbon is partitioned between assimilation and dissimilation processes. The e values for methylotrophic methane formation measured here are significantly higher than those reported for aceticlastic methanogenesis (approx 21 parts per thousand) and in the same range as those reported for reduction of carbon dioxide (32 to 79 parts per thousand). The highly C-13-depleted signature of polyisoprenoid moieties compared to biomass of cultured methanogens suggests that there is significant isotopic fractionation inherent in the lipid biosynthetic pathways of Archaea. (C) 1998 Australian Geological Survey Organization. Published by Elsevier Science Ltd. All rights reserved.</t>
  </si>
  <si>
    <t>Australian Geol Survey Org, Canberra, ACT 2601, Australia; CSIRO Land &amp; Water, Floreat Pk, WA 6014, Australia; CSIRO, Div Marine Res, Hobart, Tas 7001, Australia; Univ Tasmania, Antarctic &amp; So Ocean CRC, Hobart, Tas 7001, Australia</t>
  </si>
  <si>
    <t>Geoscience Australia; Commonwealth Scientific &amp; Industrial Research Organisation (CSIRO); Commonwealth Scientific &amp; Industrial Research Organisation (CSIRO); University of Tasmania</t>
  </si>
  <si>
    <t>Summons, RE (corresponding author), Australian Geol Survey Org, GPO Box 378, Canberra, ACT 2601, Australia.</t>
  </si>
  <si>
    <t>Nichols, Peter D/C-5128-2011; Summons, Roger Everett/AAL-3789-2020</t>
  </si>
  <si>
    <t>7-8</t>
  </si>
  <si>
    <t>10.1016/S0146-6380(98)00011-4</t>
  </si>
  <si>
    <t>ZX677</t>
  </si>
  <si>
    <t>WOS:000074542900005</t>
  </si>
  <si>
    <t>Ternois, Y; Sicre, MA; Boireau, A; Beaufort, L; Miquel, JC; Jeandel, C</t>
  </si>
  <si>
    <t>Hydrocarbons, sterols and alkenones in sinking particles in the Indian Ocean sector of the Southern Ocean</t>
  </si>
  <si>
    <t>sediment trap; time-series; Southern Ocean; biomarkers; alkenones; hydrocarbons; sterols</t>
  </si>
  <si>
    <t>NORTHWESTERN MEDITERRANEAN-SEA; ICE DIATOM COMMUNITIES; LONG-CHAIN ALKENONES; NORTH PACIFIC-OCEAN; LACUSTRINE SEDIMENT; ORGANIC-COMPOUNDS; LIPID-COMPOSITION; MARINE-SEDIMENTS; FECAL PELLETS; WATER COLUMN</t>
  </si>
  <si>
    <t>Hydrocarbons, sterols and alkenones were analyzed in samples collected from a 10 month sediment trap time series deployed in the Indian Ocean sector of the Southern Ocean. Fluxes and within-class distributions varied seasonally. During higher mass and organic carbon (OC) flux periods, which occurred in austral summer and fall, fresh marine inputs were predominant. Vertical fluxes were most intense in January, but limited to one week in duration. They were, however, low compared with other oceanic regions. In contrast, low mass and OC Bur periods were characterized by a strong unresolved complex mixture (UCM) in the hydrocarbon fraction and a high proportion of stanols as a result of zooplanktonic grazing. Terrigenous inputs were not detectable. The alkenone compositions were consistent with previous data on suspended particles from Antarctic waters. However, U-37(K') values diverged from the linear and exponential fits established by Sikes, E. L, and Volkman, J. K. Calibration of alkenone unsaturation ratios (U-37(K')) for paleotemperature estimation in cold polar waters. Geochimica et Cosmochimica Acta, 1993, 57, 1883-1889], in the low temperature range. The seasonal pattern of alkenone production implied that IPT (integrated production temperature) is likely to be strongly imprinted by austral summer and fall SST (sea surface temperature). (C) 1998 Elsevier Science Ltd. All rights reserved.</t>
  </si>
  <si>
    <t>CEA, CNRS, Lab Sci Climat &amp; Environm, Lab Mixte, F-91191 Gif Sur Yvette, France; Univ Paris 06, CNRS, INSU, Lab Phys &amp; Chim Marines, F-75252 Paris 4, France; Univ Aix Marseille 3, Cergege, F-13545 Aix En Provence 4, France; IAEA, Marine Environm Lab, MC-98012 Monaco, Monaco; Observ Midi Pyrenees, CNRS, CNES, LEGOS, F-31400 Toulouse, France</t>
  </si>
  <si>
    <t>Universite Paris Saclay; CEA; Centre National de la Recherche Scientifique (CNRS); Centre National de la Recherche Scientifique (CNRS); CNRS - National Institute for Earth Sciences &amp; Astronomy (INSU); Sorbonne Universite; Aix-Marseille Universite; Universite de Toulouse; Universite Toulouse III - Paul Sabatier; Centre National de la Recherche Scientifique (CNRS); Institut de Recherche pour le Developpement (IRD); Laboratoire d'Etudes en Geophysique et oceanographie spatiales</t>
  </si>
  <si>
    <t>Sicre, MA (corresponding author), CEA, CNRS, Lab Sci Climat &amp; Environm, Lab Mixte, Ave Terrasse, F-91191 Gif Sur Yvette, France.</t>
  </si>
  <si>
    <t>Beaufort, Luc/AAH-5305-2021; Beaufort, Luc/ABG-2289-2021; Jeandel, Catherine/P-3789-2014; Marie-Alexandrine, Sicre/AAR-1516-2020</t>
  </si>
  <si>
    <t>Beaufort, Luc/0000-0001-6055-9373; Jeandel, Catherine/0000-0002-4915-4719; Marie-Alexandrine, Sicre/0000-0002-5015-1400</t>
  </si>
  <si>
    <t>10.1016/S0146-6380(98)00008-4</t>
  </si>
  <si>
    <t>WOS:000074542900007</t>
  </si>
  <si>
    <t>Reinhardt, K</t>
  </si>
  <si>
    <t>Ligature use in food studies of precocial birds - methodological results from Antarctic skua chicks</t>
  </si>
  <si>
    <t>ORNIS FENNICA</t>
  </si>
  <si>
    <t>PENGUINS</t>
  </si>
  <si>
    <t>This paper is the first methodological investigation of the ligature application for food studies in semi-precocial birds. In a population of Brown Skuas, South Polar Skuas and mixed pairs, ligatures were attached to chicks for a period of 28 hours. Of 408 theoretical sampling visits, 8% could not be carried out. The number of times the ligature was applied did not cause differences in mortality of chicks nor did I find a growth difference for treated and untreated chicks. The method did not work equally well for three skua forms with different diets. Parent birds disgorged food equally often to ligatured and control chicks. This method is probably less accurate when used for diets with a high proportion of fish. While I was applying the ligature, body weight loss showed a non-linear decline, with a drop appearing in the first hours after application. The chicks may compensate for weight loss. In chicks whose stomachs were flushed after ligature use, no food was found, leading to the assumption that the ligature method is highly efficient. A projection of the total food consumption by field data revealed values of only 45% (Brown Skua) and 25% (South Polar Skua) of that of the model by Drent and others (1992). The advantages and disadvantages of ligaturing are discussed in regard to its further use in precocial birds.</t>
  </si>
  <si>
    <t>Friedrich Schiller Univ, Inst Ecol, D-07743 Jena, Germany</t>
  </si>
  <si>
    <t>Friedrich Schiller University of Jena</t>
  </si>
  <si>
    <t>Reinhardt, K (corresponding author), Friedrich Schiller Univ, Inst Ecol, Dornburger Str 159, D-07743 Jena, Germany.</t>
  </si>
  <si>
    <t>FINNISH ORNITHOLOGICAL SOC</t>
  </si>
  <si>
    <t>PO BOX 17 P RAUTATIEKATU 13,, FIN-00014 HELSINKI, FINLAND</t>
  </si>
  <si>
    <t>0030-5685</t>
  </si>
  <si>
    <t>Ornis Fenn.</t>
  </si>
  <si>
    <t>109AT</t>
  </si>
  <si>
    <t>WOS:000075299600002</t>
  </si>
  <si>
    <t>Parras, AM; Casadío, S; Pires, M</t>
  </si>
  <si>
    <t>Casadio, S</t>
  </si>
  <si>
    <t>Depositional sequences of the Malargue Group and the Cretaceous-Paleogene boundary, southern Mendoza Province, Argentina.</t>
  </si>
  <si>
    <t>PALEOGENE IN SOUTH AMERICA AND THE ANTARCTIC PENNISULA</t>
  </si>
  <si>
    <t>ASOCIACION PALEONTOLOGICA AEGENTINA - PUBLICACION ESPECIAL</t>
  </si>
  <si>
    <t>Conference on the Paleogene in South America</t>
  </si>
  <si>
    <t>MAY 14-18, 1996</t>
  </si>
  <si>
    <t>SANTA ROSA, ARGENTINA</t>
  </si>
  <si>
    <t>sequence stratigraphy; Cretaceous-Paleogene boundary; Malargue Group; Mendoza Province; Argentina</t>
  </si>
  <si>
    <t>The sequence stratigraphic analysis of the Malargue Group in the south of Mendoza Province, allows the recognition of five depositional sequences. The first sequence is attributed to a river-dominated delta and lake setting and the second to a river-dominated delta transitional to a tide-dominated delta (continental to marginal-marine facies); both are assigned to the Loncoche Formation. The third sequence was deposited in a subtidal to intertidal environment; it contains Maastrichtian fossils and is referred to the Roca Formation. The fourth sequence is attributed to lacustrine and fluvial environments, and the fifth is indicative of fluvial conditions; both are assigned to the Pircala Formation. The paleontological evidence and two K-40-Ar-40 radiometric ages indicate that, in this area of the basin, the Cretaceous-Paleogene boundary lies in the continental deposits of Pircala Formation (depositional sequence IV). From this, we conclude that at the beginning of the Danian, the northern boundary of the Rocanense Sea lie south of 36 degrees S.</t>
  </si>
  <si>
    <t>Univ Nacl La Pampa, Fac Ciencias Exactas &amp; Nat, RA-6300 Santa Rosa, La Pampa, Argentina</t>
  </si>
  <si>
    <t>Parras, AM (corresponding author), Univ Nacl La Pampa, Fac Ciencias Exactas &amp; Nat, Uruguay 151, RA-6300 Santa Rosa, La Pampa, Argentina.</t>
  </si>
  <si>
    <t>Casadio, Silvio/A-5131-2010</t>
  </si>
  <si>
    <t>ASOCIACION PALEONTOLOGICA ARGENTINA</t>
  </si>
  <si>
    <t>BUENOS AIRES</t>
  </si>
  <si>
    <t>MAIPU 645, 1ER PISO, 1006 BUENOS AIRES, ARGENTINA</t>
  </si>
  <si>
    <t>0328-347X</t>
  </si>
  <si>
    <t>ASOC PAL ARGENT PUBL</t>
  </si>
  <si>
    <t>BN42B</t>
  </si>
  <si>
    <t>WOS:000081883000007</t>
  </si>
  <si>
    <t>Malumián, N; Caramés, A; Martínez, H</t>
  </si>
  <si>
    <t>Clay mineral associations of the Paleogene from the Austral Basin, palaeoclimatic significance and the Paleocene/Eocene boundary</t>
  </si>
  <si>
    <t>clay; Paleogene; Austral Basin; Paleocene/Eocene; palaeoclimate</t>
  </si>
  <si>
    <t>SOUTH-ATLANTIC; HIGH-LATITUDES; EOCENE</t>
  </si>
  <si>
    <t>The clay mineral associations from the Upper Cretaceous up to the lower Neogene in the Austral Basin (southernmost South America) exhibit changes, most of which can be related to climatic factors. The kaolinite content in the Danian (Cerro Dorotea Formation and basal Magallanes inferior) is correlated with the relatively warm, wet climate. These climatic conditions were accentuated close to the Paleocene/Eocene boundary being represented by a kaolinite peak near Cerro Dorotea (early Paleocene)/Rio Turbio (middle-early late Eocene) unconformable formational contact. This remarkable kaolinite content, widely extended and traceable in subsurface, was favored by a mid-Paleocene uplift that gave rise to an extended and regional unconformity. The decreasing kaolinite content during the middle Eocene, recorded in lower members of both the Rio Turbio and La Despedida formations, is related to the global cooling trend. The widespread abundance of smectite during the late middle Eocene-lowermost Oligocene, is related to a relatively warm climate and alternating wet and dry seasons. During the late Eocene-early Oligocene (San Julian, Rio Leona and Cabo Pena Formations, and La Herminita beds) kaolinite was not recorded or is very scarce. A marked decrease of smectite that was replaced by illite-clorite is recorded in the Tierra del Fuego Island (Cabo Pena Formation, Glauconitico A and La Herminita beds) and in the Santa Cruz Province (upper member of the San Julian Formation) which bear the foraminiferal cold water Spirosigmoilinella-Martinottiella Assemblage of Antarctic character and is coeval with a conspicuous increase of frequence of Nothofagidites. In the latest early Miocene (Monte Leon, Centinela, Carmen Silva, and Cabo Domingo Formations), a widespread episode of abundance in smectite occurs; this also includes a minor kaolinite content in the upper levels of the Monte Leon Formation. This episode could be related to the maximum warmth in the Neogene close to the early/middle Miocene boundary.</t>
  </si>
  <si>
    <t>Direcc Nacl Serv Geol, RA-1107 Buenos Aires, DF, Argentina</t>
  </si>
  <si>
    <t>Malumián, N (corresponding author), Direcc Nacl Serv Geol, Tte Fragata Benito Correa 1194, RA-1107 Buenos Aires, DF, Argentina.</t>
  </si>
  <si>
    <t>WOS:000081883000010</t>
  </si>
  <si>
    <t>Martinioni, DR; Olivero, EB; Palamarczuk, S</t>
  </si>
  <si>
    <t>Paleogene conglomerates in Tierra del Fuego: New evidence of an uppermost Cretaceous-(Paleocene)-Eocene major break in the marine sedimentation of the Austral Basin</t>
  </si>
  <si>
    <t>Paleogene; stratigraphy; conglomerates; dinoflagellates; Austral Basin; Ballena Formation; Tierra del Fuego; Argentina</t>
  </si>
  <si>
    <t>CHILE</t>
  </si>
  <si>
    <t>A 40 m thick Paleogene conglomerate marine succession located just northeast of Hito XIX is described for the first time. A faulted block of Aptian-Albian strata rests on a north vergent reverse fault above this succession which, in turn, is thrust against younger rocks on its northern front. Coarse polymictic orthoconglomerate is dominant, with minor interbedded pebbly sandstone, fine sandstone, and mudstone. Conglomerate clast imbrication indicates northwest-directed palaeocurrents. Prevalent clasts are black shale and acidic volcanics; less common are bluish-gray sandstone, calcareous concretion, quartz, and granite. Autochtonous Eocene and reworked, Late Cretaceous (Santonian to Campanian) dinocyst were recovered from the interbedded fine-grained facies. To the south-southeast, in Sierra de Apen, similar rocks lay disconformably on basal Cenozoic and on uppermost Cretaceous rocks, suggesting an unconformity with a regional extension. To the east, near Lago Yehuin, a conglomerate succession previously assigned to the Beauvoir Formation (Lower Cretaceous), also bears Paleogene microfossils. Lithofacies and fossil evidence suggest that these conglomerates correlate with the Chilean Ballena Formation (Eocene). Based on subsurface data, the latter unit was interpreted as fandelta deposits fed from an uplifted area located to the south. Stratigraphic relationships, clast composition, paleocurrents, and inferred correlation of these deposits with the Ballena Formation are all consistent, and indicate that they represent a major break in the sedimentation of the Austral Basin following a marked tectonic uplift of upper Mesozoic rocks.</t>
  </si>
  <si>
    <t>Ctr Austral Invest Cient, RA-9410 Ushuaia, Tierra Del Fueg, Argentina</t>
  </si>
  <si>
    <t>Martinioni, DR (corresponding author), Ctr Austral Invest Cient, Av Malvinas Argentinas S-N, RA-9410 Ushuaia, Tierra Del Fueg, Argentina.</t>
  </si>
  <si>
    <t>WOS:000081883000013</t>
  </si>
  <si>
    <t>Marenssi, SA; Santillana, SN; Rinaldi, CA</t>
  </si>
  <si>
    <t>Stratigraphy of the La Meseta Formation (Eocene), Marambio (Seymour) Island, Antarctica</t>
  </si>
  <si>
    <t>stratigraphy; La Meseta Formation; Eocene; Antarctica</t>
  </si>
  <si>
    <t>La Meseta Formation is a discontinuity bounded sedimentary unit which crops out on Marambio (Seymour) and Cockburn islands, approximately 100 km SE of the northern tip of the Antarctic Peninsula. The base of this unit is a diachronous surface which intersects all other older units of the island. Along this surface the hiatus increases towards the West. The top is another unconformity below the glacimarine post-Pliocene deposits of the Weddell Formation. The lenticular geometry and the architecture of the internal units was interpreted as filling an incised valley, eroded on an emerging platform after the tilting of the Marambio Group and the Cross Valley Formation beds. The La Meseta Formation has a thickness of 620 m on Marambio island and was divided into three members (I to III from base to top). Nevertheless, the lithosome architecture, the relationships between facies and the sedimentary palaeoenvironments are better explained using an allostratigraphic scheme. The La Meseta alloformation is 720 m thick and was divided into six allomembers, each representing a sedimentary stage. Due to the regional importance of the unconformities which limit this unit, it is interpreted that it also represents a depositional sequence. The stratigraphy, structural characteristics and facies architecture of the La Meseta Aloformation are better explained considering a tectonic/erosive mixed origin of the unconformities and thus a tectonic control for the history of the valley is proposed.</t>
  </si>
  <si>
    <t>Inst Antartico Argentino, RA-1010 Buenos Aires, DF, Argentina</t>
  </si>
  <si>
    <t>Instituto Antartico Argentino</t>
  </si>
  <si>
    <t>Marenssi, SA (corresponding author), Inst Antartico Argentino, Cerrito 1248, RA-1010 Buenos Aires, DF, Argentina.</t>
  </si>
  <si>
    <t>WOS:000081883000014</t>
  </si>
  <si>
    <t>Pascual, R</t>
  </si>
  <si>
    <t>The history of South American land mammals: The seminal Cretaceous-Paleocene transition</t>
  </si>
  <si>
    <t>PALEOGENO DE AMERICA DEL SUR Y DE LA PENINSULA ANTARTICA</t>
  </si>
  <si>
    <t>land-mammals; South America; Cretaceous-Paleocene transition</t>
  </si>
  <si>
    <t>SEA-FLOOR; BIOGEOGRAPHY</t>
  </si>
  <si>
    <t>The last records of Late Cretaceous and early Paleocene (Danian-Selandian) mammals from;Patagonia together with those from the early Paleocene of Bolivia, are hard evidence that the whole history of the terrestrial South american mammals followed peculiar evolutionary patterns, very different from those of other regions of the world. We recognize two large episodes, which we call the Gondwanic Stage and the South American Stage. Each results from evolutionary processes which involve genetic isolation, and appear to have been related to the two stages of geographic isolation which happened in the South American continent: as part of the Gondwana supercontinent during most of the Mesozoic, and finally as a discrete and isolated continental unit near the end of the Pliocene. The first one was characterized by communities exclusively composed of no-tribosphenic and pre-tribosphenic mammals. The second one included only tribosphenic mammals (except for one monotremata and one non-tribosphenic from the early Palaeocene, and only from Patagonia). The first stage was a severe isolation from the northern continents which integrated into Laurasia. The second, on the other hand, was characterized by sporadic direct or indirect conexions with the Laurasian continents, or with Africa. For this reason, all mammals belonging to this second stage are regional products which, in isolation, derived from extracontinental immigrants. The drastic compositional changes between these stages should have happened between the Campanian and Danian, but we lack records which would allow the recognition of their modus operandi.</t>
  </si>
  <si>
    <t>Natl Univ La Plata, Fac Ciencias Nat &amp; Museo, RA-1900 La Plata, Argentina</t>
  </si>
  <si>
    <t>Pascual, R (corresponding author), Natl Univ La Plata, Fac Ciencias Nat &amp; Museo, Paseo Bosque, RA-1900 La Plata, Argentina.</t>
  </si>
  <si>
    <t>Asoc. Paleontol. Argent.-Publ. Espec.</t>
  </si>
  <si>
    <t>WOS:000081883000001</t>
  </si>
  <si>
    <t>Oliveira, EV; Bergqvist, LP</t>
  </si>
  <si>
    <t>A new Paleocene armadillo (Mammalia, Dasypodoidea) from the Itaborai Basin, Brazil</t>
  </si>
  <si>
    <t>Riostegotherium yanei; xenarthra; cingulata; Itaboraian land-mammal age; Itaborai Basin; Brazil</t>
  </si>
  <si>
    <t>Riostegotherium yanei is a new genus and species described on the basis of isolated osteoderms from Itaborai Basin (Brazil) of Itaboraian land-mammal age (middle Paleocene). The osteoderms of this armadillo have unique features distinguishing it from members of the early Tertiary Patagonian Astegotheriini. Among these are the presence of a subcircular main field, many pits in the grooves around this field, a better-developed central keel, and the absence of foramina on the posterior border. It is difficult to precise the affinities of the astegotheriines among the Dasypodoidea. Astegotheriines differ from other dasypodoids in having a moderate number of pits in the grooves limiting the main field, pelvic osteoderms with straight anterior and posterior borders, smooth lateral borders (indicating little articulation between osteoderms), and reduced number of piliferous foramina. The occurrence of at least two families of dasypodoids in the Itaboraian of Brazil, together with the presence of Peltephilidae and Astegotheriini in the Riochican of Patagonia, suggests that cingulates (or xenarthrans) were present at least since the early Paleocene in South America.</t>
  </si>
  <si>
    <t>Museo Nacl Ciencias Nat, Fdn Zoobot Rio Grande Sul, BR-90690000 Porto Alegre, RS, Brazil</t>
  </si>
  <si>
    <t>Museo Nacl Ciencias Nat, Fdn Zoobot Rio Grande Sul, Rua Salvador Franca 1427, BR-90690000 Porto Alegre, RS, Brazil.</t>
  </si>
  <si>
    <t>Bergqvist, Lilian P/C-5661-2016; Oliveira, Édison Vicente/A-8427-2011</t>
  </si>
  <si>
    <t>Oliveira, Edison/0000-0001-6634-5480</t>
  </si>
  <si>
    <t>WOS:000081883000003</t>
  </si>
  <si>
    <t>Bond, M; López, G; Reguero, MA; Scillato-Yané, GJ; Vucetich, MG</t>
  </si>
  <si>
    <t>Mammals from the Fray Bentos Formation (Deseadan land-mammal age, upper Oligocene?) of corrientes and Entre Rios provinces, Argentina</t>
  </si>
  <si>
    <t>Argentina; Corrientes; Fray Bentos formation; Deseadan land-mammal age; mammals</t>
  </si>
  <si>
    <t>MIOCENE</t>
  </si>
  <si>
    <t>The Fray Bentos Formation, with outcrops in the Uruguayan and the Argentinean provinces of Corrientes and Entre Rios, has yielded several fossil vertebrates, mainly mammals, that permit its reference to the Deseadan land-mammal age (upper Oligocene?). At the Argentine sites, dasypodidid edentates (Euphractinae) and caviomorph rodents (Chinchillidae and Cephalomyidae) not previously cited for these localities, were recorded together with notoungulates Leontinidae, Mesotheriidae (Trachyteriinae), Interatheriidae (Interatheriinae), Hegetotheriidae (Hegetotheriinae) and Archaeohyracidae. The most abundant remains belong las in most South American Tertiary associations), to representatives of the Order Notoungulata, which allow its assignment to the Deseadan land-mammal age s. l.: Prohegetotherium (Hegetotheriidae, Hegetotheriinae) and Trachyterus (=Ameghinotherium; Mesotheriidae, Trachyterinae) are characteristic of this age. The presence of an Archaeohyracidae, the biocron of which extends to the Deseadan land-mammal age, also agrees with this temporal assignment of the bearing sediments. The remains referred to Leontinidae belong to a different taxon from that described for the Fray Bentos Formation in Uruguay. This family has been recorded from the Mustersan to the Colhuehuapian land-mammal ages, but is characteristic of the Deseadan land-mammal age. Chinchillidae and Cephalomyidae are recorded since the Deseadan land-mammal age. However, certain features of the specimens from Corrientes Province are more similar to Colhuehuapian forms than to the Deseadan one. Dasypodidae is represented by a new taxon of Euphractinae Euphractini and fragmentary remains of a morphotype similar to Machlyotherium. This genus is recorded in the Casamayoran and Mustersan land-mammal ages of Patagonia (Eocene). Consequently, this taxon does not conform with the age proposed for this formation.</t>
  </si>
  <si>
    <t>Bond, M (corresponding author), Museo La Plata, Dept Cient Paleontol Vertebrados, Paseo Bosque S-N, RA-1900 La Plata, Argentina.</t>
  </si>
  <si>
    <t>palvert@museo.fcnym.unlp.edu.ar</t>
  </si>
  <si>
    <t>WOS:000081883000004</t>
  </si>
  <si>
    <t>Tambussi, CP; Noriega, JI</t>
  </si>
  <si>
    <t>Record of presbyornithids (Aves, Anseriformes) in the Vaca Mahuida Formation, La Pampa, Argentina</t>
  </si>
  <si>
    <t>Argentina; La Pampa province; Paleogene; Aves; presbyornithidae; palaeoenvironments</t>
  </si>
  <si>
    <t>The discovery of a presbyornithid (Aves, Anseriformes) from the Vaca Mahuida Formation is reported. The formation crops out at Sierra El Fresco, southeast of Puelen (La Pampa, Argentina). This occurrence indicates that the deposition of the formation dates from the late Paleocene-middle Eocene; the presence of shallow, brackish-water environments is inferred.</t>
  </si>
  <si>
    <t>Consejo Nacl Invest Cient &amp; Tecn, Dept Cient Paleontol Vertebrados, Museo La Plata, RA-1900 La Plata, Argentina</t>
  </si>
  <si>
    <t>Consejo Nacl Invest Cient &amp; Tecn, Dept Cient Paleontol Vertebrados, Museo La Plata, Paseo Bosque S-N, RA-1900 La Plata, Argentina.</t>
  </si>
  <si>
    <t>museo@isis.unlp.edu.ar; cicdteap@infovia.com.ar</t>
  </si>
  <si>
    <t>WOS:000081883000005</t>
  </si>
  <si>
    <t>Montalvo, CI; Bond, M</t>
  </si>
  <si>
    <t>A notoungulate from the Eocene Vaca Mahuida Formation, La Pampa Province, Argentina</t>
  </si>
  <si>
    <t>mammalia; notoungulata; Eocene; La Pampa; Argentina</t>
  </si>
  <si>
    <t>Sediments assigned to the Vaca Mahuida Formation outcrop at Sierra El Fresco area, southeast from Puelen, La Pampa Province. These sediments represent a depositional sequence in a depressed area, covered by a wide, fresh- to brackish-water lake. So far, only some ichnofossils, invertebrates (pelecypods and gastropods), and vertebrates (fish, anurans, birds and mammals), have been recorded. The mammal specimens described in this paper belong to the order Notoungulata, the most diverse of,the South American native ungulates. Among the notoungulates, these specimens markedly resemble members of the family Oldfieldthomasiidae (Typotheria), which ranges from the Tiupampian (early Paleocene) to the Divisaderan ages (late Eocene?). Some features are interpreted as derived (e.g. lack of paraconid, paralophid connected to the anterolingual cingulum, entoconid poorly differentiated), possibly indicating that this taxon is somewhat more advanced than those of the Paleocene. The material from the Vaca Mahuida Formation is the first record of a Paleogene mammal in La Pampa, and agrees with the Eocene age inferred for this formation.</t>
  </si>
  <si>
    <t>Univ Nacl La Pampa, Fac Ciencias Exactas &amp; Nat, Uruguay 151, RA-6300 Santa Rosa, La Pampa, Argentina.</t>
  </si>
  <si>
    <t>Montalvo, Claudia I./H-3574-2015</t>
  </si>
  <si>
    <t>WOS:000081883000006</t>
  </si>
  <si>
    <t>Goin, FJ; Candela, AM</t>
  </si>
  <si>
    <t>Two new pseudodiprotodont'' marsupials from the Eocene of Patagonia.</t>
  </si>
  <si>
    <t>Marsupialia; Paucituberculata; Polydolopimorphia; systematics; Eocene; Patagonia</t>
  </si>
  <si>
    <t>Quirogalestes almagaucha n. gen, et sp. is an early Eocene Pichipilinae (Paucituberculata, Caenolestidae) distinguished from Pichipilus and Phonocfromus by the larger size of its p3, and by having a lower molar pattern that is primitive with respect to those of Pichipilus and Phonocdromus. The protoconid is less reduced, the anterobasal cingulum is moderately developed, and the paraconid and metaconid are only slightly separated. The holotype, and only known specimen, was recovered from middle levels of Casamayor Fm. (Casamayoran Age; early Eocene) at Cerrito Fructuoso, in Valle Hermoso (Chubut Province, Argentina). It represents the oldest and more generalized pichipiline known to date. The middle Eocene Hondonadia feruglioi n. gen. et sp. (?Polydolopimorphia) resembles several polydolopimorphians in the size of its upper canine, the length and width of the incisive vacuities, an upper molar pattern characterized by a well-developed hypocone (displaced metaconule), and a (moderate) twinning of the paracone and metacone with stylar cusps B and D, respectively. The holotype, and only known specimen, comes from middle Eocene (Mustersan Age) levels at Gran Hondonada (=Pozon Grande; Sarmiento Group), near Paso de Indios (Tehuelches Department, Chubut Province, Argentina). It may represent the persistence (into well-advanced Paleogene times) of a relatively generalized polydolopimorphian quadritubercular molar pattern, which was already established in southern South America by the middle Paleocene.</t>
  </si>
  <si>
    <t>Fac Ciencias Nat, Dept Cient Paleontol Vertebrados, RA-1900 La Plata, Argentina</t>
  </si>
  <si>
    <t>Goin, FJ (corresponding author), Fac Ciencias Nat, Dept Cient Paleontol Vertebrados, Paseo Bosque S-N, RA-1900 La Plata, Argentina.</t>
  </si>
  <si>
    <t>WOS:000081883000009</t>
  </si>
  <si>
    <t>Panza, JL; Náñez, C; Malumián, N</t>
  </si>
  <si>
    <t>Eocene outcrops and foraminifera from the Deseado Massif, Santa Cruz Province</t>
  </si>
  <si>
    <t>Puesto del Museo; Santa Cruz Province; Argentina; Eocene; foraminifera; palaeogeography</t>
  </si>
  <si>
    <t>Eocene foraminifera were recovered from outcrops at Puesto del Museo (47 degrees 54'S and 67 degrees 52'W), 190 km north of Puerto San Julian, in the Deseado Massif, Santa Cruz Province. Volcanic and pyroclastic rocks of Jurassic age are dominant in the area. At Puesto del Museo, they are overlain by 15-20 m thick, friable, greenish-gray to reddish-brown coquinoid psamites, which yielded relatively scarce, poorly preserved foraminifera. The most frequent species are: Lobatula lobatula (Walker and Jacob), Polymorphina sp. cf. P. subrhombica Reuss, Pararotalia sp., Boltovskoyella sp., and Altasterella sp. The assemblage is of low diversity, composed of rotaliids, with epifaunal forms dominant. It is associated with abundant echinoid spines, bryozoa, shell debris, dark green, mature glauconite, and scarce ostracods, fish scales and teeth, and radiolarians. The whole assemblage suggests a shallow, inner shelf environment, a low rate of sedimentation and firm substrate. It is assigned to the Eocene based on its general features, and to the middle-late Eocene based on the occurrence of Altasterella sp. The known surface flooded by the sea during the Eocene is considerably increased, Puesto del Museo is about 200 km north of the northernmost occurrence of foraminifera of this age in the Austral Basin. Inasmuch as the Puesto del Museo area belonged to the San Jorge Basin during Late Cretaceous-Danian times, the presence of marine Eocene sediments of the Austral Basin domain suggests a change in the regional slope.</t>
  </si>
  <si>
    <t>Direcc Nacl Serv Geol, RA-1322 Buenos Aires, DF, Argentina</t>
  </si>
  <si>
    <t>Direcc Nacl Serv Geol, JA Roca 651,Piso 10, RA-1322 Buenos Aires, DF, Argentina.</t>
  </si>
  <si>
    <t>WOS:000081883000011</t>
  </si>
  <si>
    <t>Gandolfo, MA; Hoc, P; Santillana, S; Marenssi, S</t>
  </si>
  <si>
    <t>A fossil flower morphologically related to the family Grossulariaceae (order Rosales) from the La Meseta Formation (middle Eocene), Marambio Island, Antarctica</t>
  </si>
  <si>
    <t>flower; fossil; Grossulariaceae; Rosales; La Meseta Formation; Eocene; Marambio Island; Antarctica</t>
  </si>
  <si>
    <t>SAXIFRAGACEAE SENSU-LATO; FLORAL ANATOMY</t>
  </si>
  <si>
    <t>A new fossil flower with affinities to the family Grossulariaceae is described. It was collected from outcrops of La Meseta Formation, Marambio (Seymour) Island, Antarctica, together with other fossil plant remains. The age of this unit has been calculated as lower Eocene to possibly lower Oligocene, although the fossil was collected from fine-grained heterolithic facies of estuarine origin dated as middle Eocene. The characters preserved in the flower suggest a close relationship with the family Grossulariaceae. Comparisons with living and fossil taxa are established. Based on these comparisons, we erect a new genus for this fossil flower.</t>
  </si>
  <si>
    <t>Cornell Univ, LH Bailey Hortorium, Ithaca, NY 14853 USA</t>
  </si>
  <si>
    <t>Cornell University</t>
  </si>
  <si>
    <t>Cornell Univ, LH Bailey Hortorium, Ithaca, NY 14853 USA.</t>
  </si>
  <si>
    <t>WOS:000081883000015</t>
  </si>
  <si>
    <t>Gandolfo, MA; Marenssi, SA; Santillana, SN</t>
  </si>
  <si>
    <t>Flora and palaeoclimate of the La Meseta Formation (middle Eocene), Marambio (Seymour) Island, Antarctica</t>
  </si>
  <si>
    <t>megaflora; palaeoclimate; La Meseta Formation; Marambio Island; Antarctica; middle Eocene</t>
  </si>
  <si>
    <t>POLLEN</t>
  </si>
  <si>
    <t>New elements of the La Meseta Formation megaflora are described. This unit crops out on the northern third of Marambio (Seymour) Island, Antarctica. Fossil leaves were collected from the middle part of this formation, dated as middle Eocene. Although the fossils are not well preserved, we identified elements assignable to the following families: Nothofagaceae (at least 3 species), Dilleniaceae, Myricaceae, Myrtaceae, and Lauraceae. However, it was impossible to identify some of the fossils, although all could be recognized as dicotyledonous angiosperms. A palaeoclimatic interpretation based on physiognomic analysis (independent of the taxonomy of the elements) indicates temperate to cool temperate and seasonably moist climate for this formation. This interpretation reinforces the existence of a latitudinal gradient between the Antarctic Peninsula and South America and their progressive migration towards the north as consequence of climatic deterioriation during the Eocene-Oligocene.</t>
  </si>
  <si>
    <t>Cornell Univ, LH Bailey Hortorium, Mann Lib 462, Ithaca, NY 14853 USA</t>
  </si>
  <si>
    <t>Gandolfo, MA (corresponding author), Cornell Univ, LH Bailey Hortorium, Mann Lib 462, Ithaca, NY 14853 USA.</t>
  </si>
  <si>
    <t>WOS:000081883000016</t>
  </si>
  <si>
    <t>Brea, M</t>
  </si>
  <si>
    <t>Growth-ring analysis of fossil conifer wood from the La Meseta Formation, Seymour (Marambio) Island, Antarctica</t>
  </si>
  <si>
    <t>Eocene-Oligocene; La Meseta Formation; Cupressaceae; Podocarpaceae; growth rings; palaeoclimatology</t>
  </si>
  <si>
    <t>EARLY TERTIARY</t>
  </si>
  <si>
    <t>Fossil wood was found in the Eocene-Oligocene La Meseta Formation in Seymour (Marambio) Island, Antarctic Peninsula. Dendrochronological methods are used to study fossil wood of Cupressinoxylon seymourense Torres, Marenssi and Santillana and Podocarpoxylon sp. A. Analyses of the well-preserved growth patterns have yielded important information about periodicity of growth. They most closely resemble some species of living trees that grow in temperate areas with marked cool and warm seasons.</t>
  </si>
  <si>
    <t>Consejo Nacl Invest Cient &amp; Tecn, Lab Paleobot, Ctr Invest Cient &amp; Transferencia Tecnol, RA-3105 Diamante, Argentina</t>
  </si>
  <si>
    <t>Consejo Nacional de Investigaciones Cientificas y Tecnicas (CONICET)</t>
  </si>
  <si>
    <t>Consejo Nacl Invest Cient &amp; Tecn, Lab Paleobot, Ctr Invest Cient &amp; Transferencia Tecnol, Dr Materi &amp; Espana S-N, RA-3105 Diamante, Argentina.</t>
  </si>
  <si>
    <t>WOS:000081883000017</t>
  </si>
  <si>
    <t>Vizcaíno, SF; Reguero, MA; Goin, FJ; Tambussi, CP; Noriega, JI</t>
  </si>
  <si>
    <t>Community structure of Eocene terrestrial vertebrates from Antarctic peninsula</t>
  </si>
  <si>
    <t>Seymour Island; Antarctica; Eocene; land vertebrates; palaeoecology</t>
  </si>
  <si>
    <t>SEYMOUR-ISLAND; LAND MAMMALS</t>
  </si>
  <si>
    <t>The record of Paleogene terrestrial vertebrates from Antarctica is restricted to the shallow marine water sediments of the La Meseta Formation (Eocene) of Seymour Island (56 degrees 43'W 64 degrees 14'S). Mammals are represented by marsupials, edentates and ungulates. Among birds, a falconid and two ground dwellers (a ratite and a ?phorusrhacoid) were recorded. Estimates of body mass and dietary specializations are proposed for these species. Medium- to large-sized carnivorous mammals (greater than 1 kg body mass), such as South American borhyaenid marsupials, are not yet recorded, although their presence is expected. Their absence is interpreted as a consequence of the low proportion of homeothermic carnivorous in all modem vertebrate communities and the relatively small sample recovered to date. The carnivorous role could have been partially fulfilled by some of the birds (falconid and ?phorusrhacoid).</t>
  </si>
  <si>
    <t>WOS:000081883000018</t>
  </si>
  <si>
    <t>Reguero, MA; Vizcaíno, SF; Goin, FJ; Marenssi, SA; Santillana, SN</t>
  </si>
  <si>
    <t>Eocene high-latitude terrestrial vertebrates from Antarctica as biogeographic evidence</t>
  </si>
  <si>
    <t>Antarctic Peninsula; Eocene; high latitude fauna; mammals; palaeobiogeography</t>
  </si>
  <si>
    <t>SEYMOUR-ISLAND; WEST ANTARCTICA; EARLY TERTIARY; SOUTH-AMERICA; LAND MAMMALS; RECORD; ENVIRONMENTS; DIVERSITY; CLIMATES; FAUNAS</t>
  </si>
  <si>
    <t>A moderately diverse terrestrial biota is known from the Eocene - ?early Oligocene La Meseta Formation, Seymour Island, Antarctic Peninsula. The La Meseta Formation fills an incised valley and comprises sediments that represent deltaic, estuarine and very shallow marine environments. Forests of both deciduous and evergreen trees were dominated by Nothofagus, podocarps, and araucarian conifers. The La Meseta paleoflora is distinctive in having a predominance of Antarctic taxa; this suggests a seasonal, cold-temperate, rainy climate and a latitudinal gradient. Among the terrestrial vertebrates, there are at least nine mammal taxa, predominantly tiny marsupials (mostly endemic and new general. The presence of these marsupials suggests the existence of some form of isolating barrier (climatic and/or geographic), which must have allowed development of this endemic fauna. Comparisons with faunas assigned to the Itaboraian (late Paleocene), Riochican (late Paleocene), Casamayoran (early Eocene), and Mustersan (tentatively assigned to the middle Eocene) ages of Patagonia were made. The assemblage of terrestrial vertebrates of the La Meseta Formation is unusual in the dominance of several endemic forms. The occurrence of protodidelphid and derorhynine marsupials, that had become extinct elsewhere in the Eocene of South America, on Seymour Island also indicates that isolation may have allowed extended survival of these taxa in the Eocene of Antarctica. The nature, distribution, and composition of the La Meseta fauna firmly suggest a latitudinal differentiation in the middle Eocene. Paleogeographic evidence suggests that the terrestrial mammals of the La Meseta Formation probably lived under crepuscular and even extended nocturnal conditions (assuming that the angle of the earth's spin axis was relatively the same as it is now) during part of the year.</t>
  </si>
  <si>
    <t>Reguero, MA (corresponding author), Museo La Plata, Dept Cient Paleontol Vertebrados, Paseo Bosque S-N, RA-1900 La Plata, Argentina.</t>
  </si>
  <si>
    <t>regui@museo.fenym.unlp.edu.ar</t>
  </si>
  <si>
    <t>WOS:000081883000019</t>
  </si>
  <si>
    <t>Vizcaíno, SF; Pascual, R; Reguero, MA; Goin, FJ</t>
  </si>
  <si>
    <t>Antarctica as background for mammalian evolution</t>
  </si>
  <si>
    <t>Antarctica; Cretaceous-Paleogene; mammalia; evolution; palaeobiogeography</t>
  </si>
  <si>
    <t>SOUTH-AMERICA; SEYMOUR-ISLAND; LAND MAMMALS; SEA-FLOOR; AUSTRALIA; EOCENE; MONOTREMES; OCEAN</t>
  </si>
  <si>
    <t>Since the 1980's, a series of new Cretaceous-Paleogene land mammals has been found in southern continents. They drastically changed the traditional perspective of how mammals evolved all over the world, and particularly, how they evolved in the southern continents. This paper is a preliminary evaluation of how much this new evidence contributes to an understanding of the role Antarctica played both in the evolution of mammals in general, and in the evolution of mammals in southern continents, in particular. The only land mammals thus far recorded in Antarctica come from middle to late Eocene beds of the La Meseta Formation on Seymour Island (Antarctic Peninsula). But the land mammals found in southern South America (Patagonia) and Australia, spanning the Cretaceous-Paleogene, strongly suggest that Antarctica was both an important evolutionary center (at least during the Cretaceous-Eocene), and a stepping stone between both continents during the Late Cretaceous-early Paleocene. The taxonomic diversification of monotremes in Australia (represented by at least two Early Cretaceous families, which make four families between that time and the Recent), and the oldest marine barrier between Australia and Antarctica (ca. 64 Ma), indicate that monotremes probably originated and diversified in the Australian/Antarctic sector of Gondwana. The single dispersal tan ornithorhynchid) to the South American sector before or during the early Paleocene, attests to the role of Antarctica as a stepping stone between Australia and South America. The immigration of marsupials to the Australian sector of Gondwana must have occurred before 52 Ma. Thus, the Australian marsupials probably also diversified in the Australian/Antarctic sector of Gondwana. The available paleontological and biochemical data suggest that species ancestral to some of the present Australian marsupials evolved in Antarctica prior to their entry into Australia. The idea of the Australian/Antarctic sector as the area of origin and diversification of monotremes, and their absence from the Late Cretaceous (Campanian) land-mammal communities of southern South America (otherwise, exclusively composed by other non-tribosphenic and pre-tribosphenic mammals), suggest that by the end of the Mesozoic, there was a regional biogeographical differentiation between the East Gondwanan continents. Thus, Antarctica also might have been an important evolutionary center for non-tribosphenic and pre-tribosphenic mammals throughout the later part of the Mesozoic. The Eocene land mammals from La Meseta Formation pertain to South American lineages of marsupials (at least 4 families) and placentals (tardigrades and ungulates). They are characterized by a marked endemism at the specific and generic level. This endemism and the earlier record of certain taxa than in South America suggest both that the diversification of South American Tribosphenida mammals occurred in the Antarctic/South American sector of Gondwana, and that after the Paleocene, the Antarctic continent, or part of it, was isolated.</t>
  </si>
  <si>
    <t>WOS:000081883000020</t>
  </si>
  <si>
    <t>Bargo, MS; Reguero, MA</t>
  </si>
  <si>
    <t>Annotated catalogue of the fossil vertebrates from Antarctica housed in the Museo de La Plata, Argentina.: I.: Birds and land mammals from La Meseta Formation (Eocene ?early Oligocene)</t>
  </si>
  <si>
    <t>Antarctica; Seymour Island; Eocene-?early Oligocene; birds; mammals; La Plata Museum; catalogue</t>
  </si>
  <si>
    <t>WEST ANTARCTICA; SEYMOUR-ISLAND; RECORD</t>
  </si>
  <si>
    <t>The fossil vertebrate collection from Antarctica housed in the Departamento Cientifico Paleontologia Vertebrados of Museo de La Plata house more than 15,000 specimens. It includes fishes, marine reptiles, dinosaurs, birds and mammals. The material was collected from Vega, James Ross, and Seymour islands and in the Antarctic Peninsula and comes from different stratigraphic horizons, ranging from the Late Cretaceous to the ?early Oligocene. This catalogue includes birds (242 specimens, most of which are penguins) and land mammals (49 specimens) from La Meseta Formation (Eocene - ?early Oligocene) of Seymour Island. The importance of this collection lies in the great number and diversity of specimens, as well as the presence of at least 15 new taxa and the first records of many groups in Antarctica.</t>
  </si>
  <si>
    <t>Bargo, MS (corresponding author), Museo La Plata, Dept Cient Paleontol Vertebrados, Paseo Bosque S-N, RA-1900 La Plata, Argentina.</t>
  </si>
  <si>
    <t>WOS:000081883000021</t>
  </si>
  <si>
    <t>Lewkowicz, AG</t>
  </si>
  <si>
    <t>Aeolian sediment transport during winter, Black Top Creek, Fosheim Peninsula, Ellesmere Island, Canadian Arctic</t>
  </si>
  <si>
    <t>PERMAFROST AND PERIGLACIAL PROCESSES</t>
  </si>
  <si>
    <t>aeolian transport; niveo-aeolian deposition; denudation</t>
  </si>
  <si>
    <t>COLD ENVIRONMENTS</t>
  </si>
  <si>
    <t>Northerly winds of 25 m s(-1), and possibly in excess of 40 m s(-1), occurred for about one hour in the Eureka area on 18 February 1991. In the valley of Black Top Creek, the effects of these winds were dominantly (1) deflation of fine sediments on north-east-facing slopes, leaving a patchy soil crust perched up to 28 mm above the surrounding surface, and (2) deposition of up to 125 mm of fine and coarse sediments over snow on south-west-facing slopes, particularly in rough microtopography within detachment slides. The importance of wind erosion in this arid environment was shown by surface soil loss on a north-east-facing slope of 4.8 kg m(-2) (4 mm), an amount equivalent to more than 20 years of denudation by water. The maximum size (45 mm long) and weight (25 g) of particles transported during this storm demonstrate that aeolian transportation in the Canadian Arctic, like the Antarctic, is not confined to sand-sized materials. (C) 1998 John Wiley &amp; Sons, Ltd.</t>
  </si>
  <si>
    <t>Univ Ottawa, Dept Geog, Ctr Res Cold Environm, Ottawa, ON K1N 6N5, Canada</t>
  </si>
  <si>
    <t>University of Ottawa</t>
  </si>
  <si>
    <t>Lewkowicz, AG (corresponding author), Univ Ottawa, Dept Geog, Ctr Res Cold Environm, Ottawa, ON K1N 6N5, Canada.</t>
  </si>
  <si>
    <t>Lewkowicz, Antoni G/B-4077-2013</t>
  </si>
  <si>
    <t>1045-6740</t>
  </si>
  <si>
    <t>PERMAFROST PERIGLAC</t>
  </si>
  <si>
    <t>Permafrost Periglacial Process.</t>
  </si>
  <si>
    <t>JAN-MAR</t>
  </si>
  <si>
    <t>10.1002/(SICI)1099-1530(199801/03)9:1&lt;35::AID-PPP276&gt;3.0.CO;2-L</t>
  </si>
  <si>
    <t>ZR562</t>
  </si>
  <si>
    <t>WOS:000073990000003</t>
  </si>
  <si>
    <t>Kanazawa, A; Leisse, T; Kramer, DM</t>
  </si>
  <si>
    <t>Garab, G</t>
  </si>
  <si>
    <t>Intermediate electron transfer reactions of the Antarctic psychrotrophic green alga, Chlorella antarctica strain 3</t>
  </si>
  <si>
    <t>PHOTOSYNTHESIS: MECHANISMS AND EFFECTS, VOLS I-V</t>
  </si>
  <si>
    <t>XIth International Congress on Photosynthesis - Mechanisms and Effects</t>
  </si>
  <si>
    <t>AUG 17-22, 1998</t>
  </si>
  <si>
    <t>BUDAPEST, HUNGARY</t>
  </si>
  <si>
    <t>temperature dependence; quinone/quinol exchange; cytochrome b/f; photosystem 2; spectroscopy; O-2 evolution</t>
  </si>
  <si>
    <t>Washington State Univ, Inst Biol Chem, Pullman, WA 99164 USA</t>
  </si>
  <si>
    <t>Washington State University</t>
  </si>
  <si>
    <t>Kanazawa, A (corresponding author), Washington State Univ, Inst Biol Chem, Pullman, WA 99164 USA.</t>
  </si>
  <si>
    <t>0-7923-5547-4</t>
  </si>
  <si>
    <t>Biochemistry &amp; Molecular Biology; Plant Sciences; Cell Biology</t>
  </si>
  <si>
    <t>BP68A</t>
  </si>
  <si>
    <t>WOS:000085848500380</t>
  </si>
  <si>
    <t>Dohler, G</t>
  </si>
  <si>
    <t>Effect of UV radiation on pigments of the Antarctic macroalga Leptosomia simplex L.</t>
  </si>
  <si>
    <t>PHOTOSYNTHETICA</t>
  </si>
  <si>
    <t>alpha- and beta-carotenes; chlorophyll; chlorophyllide; lutein; UV-A and UV-B radiation; zeaxanthin</t>
  </si>
  <si>
    <t>ALGA DICTYOTA-DICHOTOMA; CHLOROPHYLL FLUORESCENCE; HAPTOPHYCEAN PAVLOVA; PHOTOINHIBITION; ASSIMILATION; IRRADIATION; N-15-AMMONIUM; DEPENDENCE</t>
  </si>
  <si>
    <t>Impact of UV-A and UV-B radiation on pattern of pigments of the Antarctic macroalga Leptosomia simplex L. was studied during the Polarstern cruise (ANT XII/2) 1994/95 under controlled laboratory conditions. An 8 h exposure to UV-A of 17.6 W m(-2) led usually to an increase of carotenoid contents, but to a decrease in contents of chlorophyllide (Chlide) a and chlorophyll (Chl) a. UV-B irradiation (300-320 nm) caused a decrease in contents of Chlide a, lutein, and zeaxanthin, but an increase in contents of Chi a and carotenes. Enhancement of carotenoid contents was attributed to a protection of the photosynthetic apparatus. UV effects on the N-15- ammonium uptake were correlated with the changes in pigment contents.</t>
  </si>
  <si>
    <t>Univ Frankfurt, Inst Bot, D-60054 Frankfurt, Germany</t>
  </si>
  <si>
    <t>Goethe University Frankfurt</t>
  </si>
  <si>
    <t>Dohler, G (corresponding author), Univ Frankfurt, Inst Bot, Siesmayerstr 70, D-60054 Frankfurt, Germany.</t>
  </si>
  <si>
    <t>INST EXPERIMENTAL BOTANY, ACAD SCI CZECH REPUBLIC</t>
  </si>
  <si>
    <t>PRAGUE 6</t>
  </si>
  <si>
    <t>NA KARLOVCE 1A, PRAGUE 6 CS-160 00, CZECH REPUBLIC</t>
  </si>
  <si>
    <t>0300-3604</t>
  </si>
  <si>
    <t>Photosynthetica</t>
  </si>
  <si>
    <t>10.1023/A:1006932922895</t>
  </si>
  <si>
    <t>100AT</t>
  </si>
  <si>
    <t>WOS:000074792300018</t>
  </si>
  <si>
    <t>Shearer, CK; Papike, JJ; Rietmeijer, FJM</t>
  </si>
  <si>
    <t>Papike, JJ</t>
  </si>
  <si>
    <t>The planetary sample suite and environments of origin</t>
  </si>
  <si>
    <t>PLANETARY MATERIALS</t>
  </si>
  <si>
    <t>REVIEWS IN MINERALOGY</t>
  </si>
  <si>
    <t>INTERPLANETARY DUST PARTICLES; EUCRITE PARENT BODY; RARE-EARTH ELEMENTS; CARBONACEOUS CHONDRITES; ANTARCTIC METEORITE; COMETARY NUCLEI; SNC METEORITES; EXPERIMENTAL PETROLOGY; REHEATED CHONDRITES; AQUEOUS ALTERATION</t>
  </si>
  <si>
    <t>Univ New Mexico, Dept Earth &amp; Planetary Sci, Inst Meteorit, Albuquerque, NM 87131 USA</t>
  </si>
  <si>
    <t>University of New Mexico</t>
  </si>
  <si>
    <t>Shearer, CK (corresponding author), Univ New Mexico, Dept Earth &amp; Planetary Sci, Inst Meteorit, Albuquerque, NM 87131 USA.</t>
  </si>
  <si>
    <t>MINERALOGICAL SOC AMER</t>
  </si>
  <si>
    <t>CHANTILLY</t>
  </si>
  <si>
    <t>3635 CONCORDE PKWY STE 500, CHANTILLY, VA 20151-1125 USA</t>
  </si>
  <si>
    <t>0275-0279</t>
  </si>
  <si>
    <t>0-939950-46-4</t>
  </si>
  <si>
    <t>REV MINERAL</t>
  </si>
  <si>
    <t>Rev. Mineral.</t>
  </si>
  <si>
    <t>A28</t>
  </si>
  <si>
    <t>Mineralogy</t>
  </si>
  <si>
    <t>BM09T</t>
  </si>
  <si>
    <t>WOS:000077625800001</t>
  </si>
  <si>
    <t>Moncorps, S; Chapuis, JL; Haubreux, D; Bretagnolle, V</t>
  </si>
  <si>
    <t>Diet of the brown skua Catharacta skua lonnbergi on the Kerguelen archipelago: comparisons between techniques and between islands</t>
  </si>
  <si>
    <t>SUB-ANTARCTIC ISLANDS; BREEDING DISTRIBUTION; INACCESSIBLE ISLAND; MACQUARIE-ISLAND; SOUTH POLAR</t>
  </si>
  <si>
    <t>The diet of the brown skua Catharacta skua lonnbergi was studied on the Kerguelen archipelago, during the chick-rearing period, over four breeding seasons (1987/1988, 1990/1991, 1992/1993 and 1993/1994). Prey remains and regurgitated pellets left by the breeding pairs were analysed and compared between two nearby and similar islands that mainly differ according to the presence or absence of the rabbit, since its eradication from one of them in 1992. Proportions of prey in diets varied between sampling methods (remains/pellets), localities, years, breeding territories, breeding pairs and non-breeding individuals. The brown skua preyed upon few species of burrowing petrels and mainly on the blue petrel. Rabbits were exploited secondarily although they apparently reduced the predation pressure on the blue petrel. The eradication of rabbits from one of the islands, during a restoration programme, has not basically changed the trophic interactions between brown skuas and petrels.</t>
  </si>
  <si>
    <t>Univ Rennes 1, Lab Evolut Syst Nat &amp; Modifies, Museum Natl Hist Nat, UMR 6553, F-75005 Paris, France; CNRS, Ctr Etud Biol Chize, F-79360 Villiers En Bois, France</t>
  </si>
  <si>
    <t>Museum National d'Histoire Naturelle (MNHN); Universite de Rennes; Centre National de la Recherche Scientifique (CNRS); CNRS - Institute of Ecology &amp; Environment (INEE); Centre National de la Recherche Scientifique (CNRS)</t>
  </si>
  <si>
    <t>Chapuis, JL (corresponding author), Univ Rennes 1, Lab Evolut Syst Nat &amp; Modifies, Museum Natl Hist Nat, UMR 6553, 36 Rue Geoffroy St Hilaire, F-75005 Paris, France.</t>
  </si>
  <si>
    <t>YM746</t>
  </si>
  <si>
    <t>WOS:000071096700002</t>
  </si>
  <si>
    <t>Davison, W</t>
  </si>
  <si>
    <t>X-cell gill disease in Pagothenia borchgrevinki from McMurdo Sound, Antarctica</t>
  </si>
  <si>
    <t>DAB LIMANDA-LIMANDA; NOTOTHENIID FISH; NORTH-SEA; TELEOST; PSEUDOTUMORS; PISCES</t>
  </si>
  <si>
    <t>The Antarctic nototheniid fish Pagothenia borchgrevinki is a schooling, cryopelagic fish growing to about 280 mm maximum length. It is affected by X-cell disease, which causes gross swelling of gill filaments. Overall, 22% of the fish sampled had X-cell disease with individual schools ranging from 9.2 to 43.9%, which is a very high incidence compared to figures of other fish with the disease. In P. borchgrevinki, the disease caused a doubling of gill mass but had no effect on liver mass. Condition factor of affected fish was low.</t>
  </si>
  <si>
    <t>Univ Canterbury, Dept Zool, Christchurch 1, New Zealand</t>
  </si>
  <si>
    <t>University of Canterbury</t>
  </si>
  <si>
    <t>Davison, W (corresponding author), Univ Canterbury, Dept Zool, Private Bag 4800, Christchurch 1, New Zealand.</t>
  </si>
  <si>
    <t>w.davison@zool.canterbury.ac.nz</t>
  </si>
  <si>
    <t>WOS:000071096700003</t>
  </si>
  <si>
    <t>Favero, M; Silva, MP</t>
  </si>
  <si>
    <t>How important are pelagic preys for the kelp gull during chick-rearing at the South Shetland Islands?</t>
  </si>
  <si>
    <t>LARUS-DOMINICANUS; PREDATION; ANTARCTICA; DIET</t>
  </si>
  <si>
    <t>An analysis of pellets regurgitated indicated adult kelp gulls (Larus dominicanus) on the South Shetland Islands consumed predominantly intertidal prey, whereas previous studies at Antarctic Peninsula sites have reported kelp gulls consuming predominantly pelagic species. The pellets collected at Nelson Island during the chick-rearing period indicated that the limpet Nacella concinna was their most frequent prey, followed by carrion, gammariids, snails and krill. Fish were scarcely represented. Also, regurgitated stomach contents of chicks showed that limpets and carrion were the most frequent food items, accounting for 70% of the mass. However, gammariids were particularly important by number. Significant differences were observed in the overall comparison of the diet as reflected by the two sampling methods. In general, the importance of pelagic prey was negligible when compared to intertidal or scavenged prey. Our results differ greatly from those reported for the Antarctic Peninsula, where chicks were almost exclusively fed with the pelagic fish Pleuragramma antarcticum. These differences could be related to the abundance of pelagic resources in southernmost latitudes, and/or to the presence of more extensive intertidal foraging areas at the South Shetland Islands.</t>
  </si>
  <si>
    <t>Univ Mar del Plata, Fac Ciencias Exactas &amp; Nat, Dept Biol, RA-7600 Mar Del Plata, Argentina; Univ Mar del Plata, Fac Ciencias Exactas &amp; Nat, CIC, Dept Ciencias Marinas, RA-7600 Mar Del Plata, Argentina</t>
  </si>
  <si>
    <t>National University of Mar del Plata; National University of Mar del Plata</t>
  </si>
  <si>
    <t>Favero, M (corresponding author), Univ Mar del Plata, Fac Ciencias Exactas &amp; Nat, Dept Biol, Funes 3250, RA-7600 Mar Del Plata, Argentina.</t>
  </si>
  <si>
    <t>Favero, Marco/AGF-7428-2022; Bond, Alexander L/A-3786-2010</t>
  </si>
  <si>
    <t>Favero, Marco/0000-0003-1293-3417;</t>
  </si>
  <si>
    <t>WOS:000071096700005</t>
  </si>
  <si>
    <t>Guglielmo, L; Granata, A; Greco, S</t>
  </si>
  <si>
    <t>Distribution and abundance of postlarval and juvenile Pleuragramma antarcticum (Pisces, Nototheniidae) off Terra Nova Bay (Ross Sea, Antarctica)</t>
  </si>
  <si>
    <t>SOUTHERN WEDDELL SEA; MCMURDO SOUND; PENINSULA; WATERS; FOOD; FISH; REGION</t>
  </si>
  <si>
    <t>During the Italian Antarctic Expedition of 1987-1988 zooplankton was collected in Terra Nova Bay (Ross Sea) by a multinet BIONESS (250-mu m or 500-mu m net mesh size). The early life history of Pleuragramma antarcticum was described from 268 samples. More than 98% of a total of 34,436 fish larvae belonged to P. antarcticum. The mean relative abundance in the whole area for positive 0 to 150-m hauls was 434 ind./100 m(3) (+/-720 SD). Postlarvae were most abundant and frequent in the samples (99.8%) while low concentrations of juveniles were found (n = 67). Length of age group 0 ranged from 8 to 20 mm and age group 1+ were from 36 to 53 mm. Average growth rate over a period of 1 year was 0.08 mm per day. Based on modal values, the mean daily increment of P. antarcticum postlarvae in the period 5 January to 2 February (29 days) was about 0.21 mm. Highest abundances occurred near Cape Washington (mean: 2,108 ind./100 m(3)) while lower densities were recorded in the northern basin of the self (31 ind./100 m(3)). Horizontal and vertical distribution patterns in Terra Nova Bay seem to be strictly correlated to hydrographic features and different water masses with highest densities associated with the westward flowing current of the limb of the Antarctic coastal current and southern limb of the Ross Sea Gyre. These currents become part of the clockwise gyre in Terra Nova Bay. More than 62% of the postlarvae were collected in well-stratified warm surface water (0-50 m) near the summertime thermocline (20-70 m). The northern part of Terra Nova Bay seems to represent nursery ground of early stages of P. antarcticum and the presence of permanent polynya could provide favourable food conditions for development of the first stages of life. Differing distribution patterns probably reflect an interaction of various parameters including bathymetry, floating ice shelf, hydrographic features such as currents, local eddies and frontal systems, with P. antarcticum postlarval biology (spawning) and ecology (feeding, horizontal and vertical distribution patterns).</t>
  </si>
  <si>
    <t>Univ Messina, Dipartimento Biol Anim &amp; Ecol Marina, I-98166 Messina, Italy; CNR, Ist Talassog, I-98123 Messina, Italy</t>
  </si>
  <si>
    <t>University of Messina; Consiglio Nazionale delle Ricerche (CNR)</t>
  </si>
  <si>
    <t>Guglielmo, L (corresponding author), Univ Messina, Dipartimento Biol Anim &amp; Ecol Marina, Salita Sperone 31, I-98166 Messina, Italy.</t>
  </si>
  <si>
    <t>GUGLIELMO, Letterio/0000-0001-7547-8058; GRANATA, Antonia/0000-0001-7016-6418</t>
  </si>
  <si>
    <t>WOS:000071096700006</t>
  </si>
  <si>
    <t>Freeman, MP; Farrugia, CJ</t>
  </si>
  <si>
    <t>Moen, J; Egeland, A; Lockwood, M</t>
  </si>
  <si>
    <t>Magnetopause motions in a Newton-Busemann approach</t>
  </si>
  <si>
    <t>POLAR CAP BOUNDARY PHENOMENA</t>
  </si>
  <si>
    <t>NATO ADVANCED SCIENCE INSTITUTES SERIES, SERIES C, MATHEMATICAL AND PHYSICAL SCIENCES</t>
  </si>
  <si>
    <t>NATO Advanced Study Institute on Polar Cap Boundary Phenomena</t>
  </si>
  <si>
    <t>JUN 04-13, 1997</t>
  </si>
  <si>
    <t>LONGYEARBYEN, NORWAY</t>
  </si>
  <si>
    <t>Freeman, MP (corresponding author), British Antarctic Survey, Madingley Rd, Cambridge CB3 0ET, England.</t>
  </si>
  <si>
    <t>Freeman, Mervyn/0000-0002-8653-8279</t>
  </si>
  <si>
    <t>0258-2023</t>
  </si>
  <si>
    <t>0-7923-4976-8</t>
  </si>
  <si>
    <t>NATO ADV SCI I C-MAT</t>
  </si>
  <si>
    <t>Astronomy &amp; Astrophysics; Geochemistry &amp; Geophysics; Meteorology &amp; Atmospheric Sciences; Physics, Applied</t>
  </si>
  <si>
    <t>Astronomy &amp; Astrophysics; Geochemistry &amp; Geophysics; Meteorology &amp; Atmospheric Sciences; Physics</t>
  </si>
  <si>
    <t>BK68F</t>
  </si>
  <si>
    <t>WOS:000073073600002</t>
  </si>
  <si>
    <t>Rodger, AS</t>
  </si>
  <si>
    <t>Ionospheric signatures of magnetopause processes</t>
  </si>
  <si>
    <t>Whilst it is well-accepted that short-duration changes to the Interplanetary Magnetic Field (IMF) and solar wind cause high-latitude ionospheric transients observed by magnetic, optical and radar techniques, a coherent explanation of the zoo of signatures remains illusive. The paper describes some of the problems involved in the interpretation of dayside transient features, all of which result from time-and spatially-varying field-aligned currents. A brief discussion of how internal magnetospheric processes can directly affect the rate at which energy is transferred across the magnetopause is discussed. Further progress will require carefully-coordinated measurements from ground-based networks of observatories with complementary measurements from space.</t>
  </si>
  <si>
    <t>Rodger, AS (corresponding author), British Antarctic Survey, Madingley Rd, Cambridge CB3 0ET, England.</t>
  </si>
  <si>
    <t>WOS:000073073600010</t>
  </si>
  <si>
    <t>Polar patches - Outstanding issues</t>
  </si>
  <si>
    <t>Historically, the term polar patch was used to describe isolated regions of enhanced 630 nm emission observed in the polar cap. In recent years, signatures from other instruments, such as riometer, ionosonde and HF backscatter radar, have been used to identify related phenomena. In this paper, the relationship between these various signatures, ascribed the term of polar patches is briefly described. A summary of the formation processes of polar patches is presented, followed by a discussion of the sources of plasma that form polar patches. Some outstanding issues concerning polar patches are raised.</t>
  </si>
  <si>
    <t>WOS:000073073600021</t>
  </si>
  <si>
    <t>Lester, M; Thomas, EC; Pinnock, M; Senior, C; Owen, CJ</t>
  </si>
  <si>
    <t>Lovhaug, UP</t>
  </si>
  <si>
    <t>CUTLASS observations of convection in the cusp region.</t>
  </si>
  <si>
    <t>POLAR CAP THERMOSPHERE/IONOSPHERE AND ITS ROLE IN SOLAR-TERRESTRIAL PHYSICS</t>
  </si>
  <si>
    <t>C2-2 Symposium of COSTAR Scientific Commission C on the Polar Cap Thermosphere/Ionosphere and Its Role in Solar-Terrestrial Physics, at 31st COSPAR Scientific Assembly</t>
  </si>
  <si>
    <t>MAGNETOSPHERE</t>
  </si>
  <si>
    <t>The Finnish radar of CUTLASS has been operational since February 1995. Between 0620 and 0800 UT on August 25 1995, a region of ionospheric scatter, which was limited to only a few degrees of magnetic latitude, moved poleward at a rate of some 7 degrees per hour. The line of sight velocity measurements on a special high time resolution beam indicate a flow reversal boundary which moved poleward throughout the interval. Flow was towards (away from) the radar on the poleward (equatorward) side of the boundary. The flow towards the radar along this beam was at a high speed, &gt;800 m s(-1), while the speed away from the radar was less than 200 m s(-1). Spatial plots indicate high speed flow away from the radar in the west of the field of view. A tentative: interpretation is that the high speed flow is caused by lobe cell reconnection while the low speed flow is associated with either the contraction of the polar cap or due to viscous processes at the magnetopause. (C) 1998 COSPAR. Published by Elsevier Science Ltd.</t>
  </si>
  <si>
    <t>Univ Leicester, Dept Phys &amp; Astron, Leicester LE1 7RH, Leics, England; British Antarctic Survey, Cambridge CB3 0ET, England; CETP, CNRS, F-94107 St Maur Des Fosses, France; Univ London Queen Mary &amp; Westfield Coll, London E1 4NS, England</t>
  </si>
  <si>
    <t>University of Leicester; UK Research &amp; Innovation (UKRI); Natural Environment Research Council (NERC); NERC British Antarctic Survey; Centre National de la Recherche Scientifique (CNRS); University of London; Queen Mary University London</t>
  </si>
  <si>
    <t>Lester, M (corresponding author), Univ Leicester, Dept Phys &amp; Astron, Univ Rd, Leicester LE1 7RH, Leics, England.</t>
  </si>
  <si>
    <t>Owen, Christopher/C-2999-2008</t>
  </si>
  <si>
    <t>Owen, Christopher/0000-0002-5982-4667</t>
  </si>
  <si>
    <t>0-08-043473-8</t>
  </si>
  <si>
    <t>10.1016/S0273-1177(98)00175-6</t>
  </si>
  <si>
    <t>BM19Q</t>
  </si>
  <si>
    <t>WOS:000078002400004</t>
  </si>
  <si>
    <t>Balmforth, HF; Moffett, RJ; Rodger, AS</t>
  </si>
  <si>
    <t>Modelling studies of the effects of cusp inputs on the polar ionosphere</t>
  </si>
  <si>
    <t>LATITUDE F-REGION; IONIZATION; CONVECTION; PATCHES; TROUGH</t>
  </si>
  <si>
    <t>A new numerical model of the high latitude ionosphere is used in conjunction with data from the EISCAT radar facility to study the formation and structure of polar patches. Inputs based on the ionospheric signature of a Flux Transfer Event (FTE) are used in the model. It is found that a region of decreased O+ and increased molecular ion concentration is produced in the cusp region of the polar ionosphere. Ion temperatures are observed to be greatly enhanced in this region, which leads to an increase in the recombination rate resulting in the alteration of the ion concentrations. The electron temperature is less enhanced than the ions. Large upward fluxes transport plasma to higher altitudes where it is stored and released several hours after the FTE has finished, as the flux tube convects across the polar cap. (C) 1998 COSPAR. Published by Elsevier Science Ltd.</t>
  </si>
  <si>
    <t>Univ Sheffield, Sch Math &amp; Stat, Upper Atmosphere Modelling Grp, Sheffield S3 7RH, S Yorkshire, England; British Antarctic Survey, Cambridge CB3 0ET, England</t>
  </si>
  <si>
    <t>Balmforth, HF (corresponding author), Univ Sheffield, Sch Math &amp; Stat, Upper Atmosphere Modelling Grp, Sheffield S3 7RH, S Yorkshire, England.</t>
  </si>
  <si>
    <t>10.1016/S0273-1177(98)00195-1</t>
  </si>
  <si>
    <t>WOS:000078002400024</t>
  </si>
  <si>
    <t>Yordi, R</t>
  </si>
  <si>
    <t>AMER ASSOC ZOO KEEPERS INC; AMER ASSOC ZOO KEEPERS INC</t>
  </si>
  <si>
    <t>Environmental enrichment on a seasonal basis for sub-Antarctic and sub-arctic seabirds at SeaWorld, San Antonio</t>
  </si>
  <si>
    <t>PROCEEDINGS OF THE 1998 JOINT CONFERENCE: AAZK/EMA/AZH</t>
  </si>
  <si>
    <t>25th National Joint Conference of the AAZK, EMA, and AZH</t>
  </si>
  <si>
    <t>INDIANAPOLIS, IN</t>
  </si>
  <si>
    <t>SeaWorld, Unit Supervisor Aviculture, San Antonio, TX USA</t>
  </si>
  <si>
    <t>Yordi, R (corresponding author), SeaWorld, Unit Supervisor Aviculture, San Antonio, TX USA.</t>
  </si>
  <si>
    <t>AMERICAN ASSOCIATION OF ZOO KEEPERS INC</t>
  </si>
  <si>
    <t>TOPEKA</t>
  </si>
  <si>
    <t>3601 SW 29TH ST, SUITE 133, TOPEKA, KS 66614 USA</t>
  </si>
  <si>
    <t>Behavioral Sciences; Horticulture; Veterinary Sciences; Zoology</t>
  </si>
  <si>
    <t>Behavioral Sciences; Agriculture; Veterinary Sciences; Zoology</t>
  </si>
  <si>
    <t>BP58F</t>
  </si>
  <si>
    <t>WOS:000085569900011</t>
  </si>
  <si>
    <t>Dutta, PK; Haynes, DF</t>
  </si>
  <si>
    <t>Grundy, P; Koo, J; Langen, I; Roesset, JM</t>
  </si>
  <si>
    <t>Evaluation of polymeric composite window structures for Antarctic environment</t>
  </si>
  <si>
    <t>PROCEEDINGS OF THE EIGHTH INTERNATIONAL OFFSHORE AND POLAR ENGINEERING CONFERENCE, VOL 4</t>
  </si>
  <si>
    <t>International Offshore and Polar Engineering Conference Proceedings</t>
  </si>
  <si>
    <t>8th International Offshore and Polar Engineering Conference (ISOPE-98)</t>
  </si>
  <si>
    <t>MAY 24-29, 1998</t>
  </si>
  <si>
    <t>MONTREAL, CANADA</t>
  </si>
  <si>
    <t>composites; composite materials; polymer composite; windows; Antarctica; South Pole; cold; extreme cold; frost; accelerated testing; aging; durability</t>
  </si>
  <si>
    <t>A method to evaluate structural durability and performance of windows for use at the U.S. South Pole Station, Antarctica, is developed, Four commercial windows were mounted on a special test chamber simulating the antarctic conditions. The windows were instrumented with heat flux sensors, thermocouples, and strain gauges. The superiority of one product against the other was established on the basis of frost buildup, maintainability of thermal insulation, and structural integrity.</t>
  </si>
  <si>
    <t>USA, Cold Reg Res &amp; Engn Lab, Hanover, NH 03755 USA</t>
  </si>
  <si>
    <t>United States Department of Defense; United States Army; U.S. Army Corps of Engineers; U.S. Army Engineer Research &amp; Development Center (ERDC); Cold Regions Research &amp; Engineering Laboratory (CRREL)</t>
  </si>
  <si>
    <t>Dutta, PK (corresponding author), USA, Cold Reg Res &amp; Engn Lab, 72 Lyme Rd, Hanover, NH 03755 USA.</t>
  </si>
  <si>
    <t>INTERNATIONAL SOCIETY OFFSHORE&amp; POLAR ENGINEERS</t>
  </si>
  <si>
    <t>CUPERTINO</t>
  </si>
  <si>
    <t>PO BOX 189, CUPERTINO, CA 95015-0189 USA</t>
  </si>
  <si>
    <t>1098-6189</t>
  </si>
  <si>
    <t>1-880653-38-9</t>
  </si>
  <si>
    <t>INT OFFSHORE POLAR E</t>
  </si>
  <si>
    <t>Engineering, Marine; Engineering, Petroleum; Engineering, Geological; Metallurgy &amp; Metallurgical Engineering</t>
  </si>
  <si>
    <t>Engineering; Metallurgy &amp; Metallurgical Engineering</t>
  </si>
  <si>
    <t>BL51A</t>
  </si>
  <si>
    <t>WOS:000075724700032</t>
  </si>
  <si>
    <t>Likhomanov, V; Stepanov, I; Frederking, R; Timco, GW</t>
  </si>
  <si>
    <t>Chung, JS; Frederking, RMW; Saeki, H; Moshagen, H</t>
  </si>
  <si>
    <t>Comparison of results of impact tests on laboratory and natural freshwater ice with hydrodynamic model predictions</t>
  </si>
  <si>
    <t>PROCEEDINGS OF THE EIGHTH INTERNATIONAL OFFSHORE AND POLAR ENGINEERING, VOL 2</t>
  </si>
  <si>
    <t>ice impact; ice strength; field and laboratory tests</t>
  </si>
  <si>
    <t>An extensive series of drop impact tests were carried out by the Arctic and Antarctic Research Institute (AARI) on natural ice in the late 1960s and by the National Research Council of Canada (NRC) on laboratory ice in the late 1980s. Spherical impacters of radii 286 mm and 100 mm and masses ranging from 33 kg to 300 kg were used. Impact velocities ranged from 0.6 to 5.6 m/s. Measurements of accelerations of the impactor allowed ice resistance and penetration to be determined. The data from both test locations were analysed using the Kheisin and Kurdyumov hydrodynamic model of impact of a rigid body on ice. The ice impact crushing strength, analysed by applying the hydrodynamic model to all the data, showed consistency and similar trends. Impact strength decreased with increasing velocity and increasing ice temperature. A velocity dependent ice impact crushing strength is suggested as a modification to the hydrodynamic model.</t>
  </si>
  <si>
    <t>Likhomanov, V (corresponding author), Arctic &amp; Antarctic Res Inst, St Petersburg 199226, Russia.</t>
  </si>
  <si>
    <t>1-880653-36-2</t>
  </si>
  <si>
    <t>Engineering, Marine; Engineering, Petroleum; Engineering, Geological</t>
  </si>
  <si>
    <t>BL50Y</t>
  </si>
  <si>
    <t>WOS:000075723400069</t>
  </si>
  <si>
    <t>Likhomanov, V; Timofeev, O; Stepanov, I; Kashtelyan, V; Tsoy, L</t>
  </si>
  <si>
    <t>Ice passport for icebreaker Pierre Radisson and passport's concept: Further development</t>
  </si>
  <si>
    <t>navigation in ice; safe navigation; ice passport; ice loads; ice belt structure; ship performance in ice</t>
  </si>
  <si>
    <t>In 1997 the Department of Ship Performance of AARI on the order of Transport Canada and Canadian Coast Guard under management of NRC-Canadian Hydraulics Centre developed the ice passport (IP) for icebreaker Pierre Radisson. The paper contains the description of main stages of IP developing illustrated by results for icebreaker Pierre Radisson. The paper contains also the suggestion for improving of IP.</t>
  </si>
  <si>
    <t>WOS:000075723400088</t>
  </si>
  <si>
    <t>Goodwin, ID</t>
  </si>
  <si>
    <t>Did changes in Antarctic ice volume influence late Holocene sea-level lowering?</t>
  </si>
  <si>
    <t>QUATERNARY SCIENCE REVIEWS</t>
  </si>
  <si>
    <t>LATE PLEISTOCENE; GLACIAL HISTORY; TRANSANTARCTIC MOUNTAINS; SURFACE FLUCTUATIONS; CLIMATIC-CHANGE; SOUTHERN-OCEAN; BUDD COAST; LAW DOME; PENINSULA; SHEET</t>
  </si>
  <si>
    <t>There has been great debate over the last few decades on the magnitude and causes of relative sea-level lowering during the late Holocene. The principal attributed causes are geodynamic rather than glacio-eustatic. An alternative partial cause is an increase in Antarctic ice volume. Glaciological and glacial geological held evidence indicates that during the late Holocene, the Antarctic alpine glaciers, ice sheet margins and outlet glaciers have expanded, and the ice sheet interior has thickened. This is attributed to: (i) an ice thickening in central East Antarctica throughout the Holocene, which was caused by the 50% higher Holocene snow accumulation rates than those during the glacial stage, coupled with the slow reaction time for ice sheet velocities to respond to the increased accumulation and temperature; and (ii) increased ice volume supplied by higher than mean Holocene accumulation rates, associated with a warmer climatic period between 4000 to 2500 years B.P. It is estimated that these effects could account for similar to 1.0 +/- 0.2 m of the interpreted sea-level lowering on mid-oceanic islands, with similar to 0.7 +/- 0.1 m of lowering occurring between 4000 and 2500 years B.P. (C) 1998 Elsevier Science Ltd. All rights reserved.</t>
  </si>
  <si>
    <t>Antarctic CRC &amp; SCAR Global Change Programme Off, Hobart, Tas 7001, Australia</t>
  </si>
  <si>
    <t>Goodwin, ID (corresponding author), Antarctic CRC &amp; SCAR Global Change Programme Off, GPO Box 252-80, Hobart, Tas 7001, Australia.</t>
  </si>
  <si>
    <t>0277-3791</t>
  </si>
  <si>
    <t>QUATERNARY SCI REV</t>
  </si>
  <si>
    <t>Quat. Sci. Rev.</t>
  </si>
  <si>
    <t>4-5</t>
  </si>
  <si>
    <t>10.1016/S0277-3791(97)00051-6</t>
  </si>
  <si>
    <t>103RY</t>
  </si>
  <si>
    <t>WOS:000074972700002</t>
  </si>
  <si>
    <t>Broecker, WS</t>
  </si>
  <si>
    <t>The end of the present interglacial: How and when?</t>
  </si>
  <si>
    <t>THERMOHALINE CIRCULATION; CLIMATE RECORDS; NORTH-ATLANTIC; SEA-LEVEL; CYCLES; RATES; AGES; CORE</t>
  </si>
  <si>
    <t>Despite the large decline in Northern Hemisphere summer insolation during the last 8000 years, neither sea level nor polar temperatures have as yet undergone any significant downturn. This behavior is consistent with the prediction by Kukla and Matthews (1972) that the Holocene interglacial will terminate suddenly with a jump to another of the climate system's modes of operation. This is what happened at the end of the last period of peak interglaciation. However, complicating the situation is evidence that ice sheet growth during the transition from marine stage 5e to 5d preceded the shut down of the Atlantic's conveyor circulation which is thought to have brought Europe's Eemian to a close. If so, then in the natural course of events, the end of the present interglaciation awaits the onset of ice cap growth. However, it must be kept in mind that the ongoing buildup of greenhouse gases may alter the natural course of events. In particular, the warming and wetting of the planet will gradually reduce the density of surface waters in the regions where deep waters form. As this reduction is not likely to be symmetrical between the northern Atlantic and the margin of the Antarctic continent, the current near balance between deep water production in the north and south may be disrupted causing an abrupt reorganization of the ocean's thermohaline circulation. Based on the paleoclimatic record, such a reorganization would have had a profound impact on the planet's climate. (C) 1998 Elsevier Science Ltd. All rights reserved.</t>
  </si>
  <si>
    <t>Columbia Univ, Lamont Doherty Geol Observ, Palisades, NY 10964 USA</t>
  </si>
  <si>
    <t>Broecker, WS (corresponding author), Columbia Univ, Lamont Doherty Geol Observ, Palisades, NY 10964 USA.</t>
  </si>
  <si>
    <t>10.1016/S0277-3791(98)00037-7</t>
  </si>
  <si>
    <t>120QA</t>
  </si>
  <si>
    <t>WOS:000075966000001</t>
  </si>
  <si>
    <t>Aldahan, A; Possnert, G</t>
  </si>
  <si>
    <t>A high-resolution 10Be profile from deep sea sediment covering the last 70 ka:: Indication for globally synchronized environmental events</t>
  </si>
  <si>
    <t>GREENLAND ICE CORE; GEOMAGNETIC-FIELD; SECULAR VARIATION; GLACIAL MAXIMUM; NORTH-ATLANTIC; CHINESE LOESS; ANTARCTIC ICE; REVERSALS; CYCLE; OCEAN</t>
  </si>
  <si>
    <t>We present a high-resolution Be-10 profile from deep sea sediments (sampled from Hole 502B in the Caribbean sea) that strongly resembles the 10Be record in ice core profiles, particularly the Vostok core from Antarctica. This high-resolution profile revealed occurrences of enhanced Be-10 concentrations at about 23-24, 37-39 and 60-65 ka. The excellent match between these peaks appearing in a georeservoir profile other than in polar ice, strengthens the implications that can be inferred from Be-10 and provide global markers for chronological correlation of climatic events. The position at low latitude of the studied sediment section is, unlike the case with the high latitude polar regions, excellent for exposing causes of modulation in Be-10 production. We interpret the source of the pattern and enhancements, particularly the 37-39 ka peak, of Be-10 to be global and do not strictly relate to climatic conditions and/or production rates specific to the polar regions. (C) 1998 Elsevier Science Ltd. All rights reserved.</t>
  </si>
  <si>
    <t>Uppsala Univ, Inst Earth Sci, S-75236 Uppsala, Sweden; Univ Uppsala, Tanden Lab, S-75121 Uppsala, Sweden</t>
  </si>
  <si>
    <t>Uppsala University; Uppsala University</t>
  </si>
  <si>
    <t>Aldahan, A (corresponding author), Uppsala Univ, Inst Earth Sci, S-75236 Uppsala, Sweden.</t>
  </si>
  <si>
    <t>10.1016/S0277-3791(97)00089-9</t>
  </si>
  <si>
    <t>137YT</t>
  </si>
  <si>
    <t>WOS:000076945200004</t>
  </si>
  <si>
    <t>Sonzogni, C; Bard, E; Rostek, F</t>
  </si>
  <si>
    <t>Tropical sea-surface temperatures during the last glacial period: A view based on alkenones in Indian Ocean sediments</t>
  </si>
  <si>
    <t>LONG-CHAIN ALKENONES; YOUNGER DRYAS EVENT; PAST 150,000 YEARS; LATE QUATERNARY; ICE-CORE; MOLECULAR STRATIGRAPHY; GEPHYROCAPSA-OCEANICA; ISOTOPIC COMPOSITION; EQUATORIAL ATLANTIC; MASS-SPECTROMETRY</t>
  </si>
  <si>
    <t>The quantification of tropical temperatures during the last glacial cycle (0-150 kyr BP) is a controversial issue since different proxies seem to provide conflicting informations. To obtain a complementary point of view, we use the alkenone method to estimate sea-surface temperatures and focus our work on deep-sea sediments recovered from the tropical Indian Ocean. We present alkenone data obtained in two cores which cover in detail the last deglaciation and in about twenty cores distributed between 20 degrees S and 20 degrees N that were chosen to evaluate the temperature contrast of the last glacial-interglacial transition. Our results indicate that Indian Ocean tropical temperatures remained an average within 1.5-2.5 degrees C of their present values during the last glaciation. At 10 degrees N the last deglaciation is characterized by two warming steps which is similar to the classical deglacial chronology observed in the North Atlantic area. At 20 degrees S the deglacial warming occurred at ca. 15 cal kyr BP, lagging significantly (5-4 kyr) behind the Antarctic warming, but in phase with northern hemisphere time series. (C) 1998 Elsevier Science Ltd. All rights reserved.</t>
  </si>
  <si>
    <t>Univ Aix Marseille 3, CEREGE, CNRS, F-13545 Aix En Provence 4, France</t>
  </si>
  <si>
    <t>Centre National de la Recherche Scientifique (CNRS); Aix-Marseille Universite</t>
  </si>
  <si>
    <t>Sonzogni, C (corresponding author), Univ Aix Marseille 3, CEREGE, CNRS, BP 80, F-13545 Aix En Provence 4, France.</t>
  </si>
  <si>
    <t>sonzogni@cerege.fr</t>
  </si>
  <si>
    <t>Bard, Edouard/G-7717-2014; Sonzogni, Corinne/AAG-5816-2019</t>
  </si>
  <si>
    <t>10.1016/S0277-3791(97)00099-1</t>
  </si>
  <si>
    <t>148XE</t>
  </si>
  <si>
    <t>WOS:000077558900007</t>
  </si>
  <si>
    <t>Shen, CD; Liu, TS; Yi, WX; Sun, YM; Jiang, MT; Beer, J; Bonani, G</t>
  </si>
  <si>
    <t>14C dating of terrestrial moss in Tern Lake deposits, Antarctica</t>
  </si>
  <si>
    <t>RADIOCARBON</t>
  </si>
  <si>
    <t>16th International Radiocarbon Conference</t>
  </si>
  <si>
    <t>JUN, 1997</t>
  </si>
  <si>
    <t>GRONINGEN, NETHERLANDS</t>
  </si>
  <si>
    <t>Accurate radiocarbon ages were obtained from terrestrial moss from two drill holes in Tern Lake deposits, Antarctica, using liquid scintillation counting (LSC) and accelerator mass spectrometry (AMS). The results show that the lake deposits have been accumulating since the end of the last glacial epoch ca. 12,600 cal BP at the rate of 0.13-1.1 mm a(-1). We discuss the validity of C-14 ages of Antarctic lake deposits, with respect to the latitude effect of C-14 productivity, the reservoir effect, the environment effect and the hard-water effect.</t>
  </si>
  <si>
    <t>Chinese Acad Sci, Guangzhou Inst Geochem, Guangzhou 510640, Peoples R China; Chinese Acad Sci, Inst Geol, Beijing 100029, Peoples R China; Swiss Fed Inst Environm Sci &amp; Technol EAWAG, CH-8600 Dubendorf, Switzerland; ETH Zurich, Inst Mittelenergiephys, CH-8093 Zurich, Switzerland</t>
  </si>
  <si>
    <t>Chinese Academy of Sciences; Guangzhou Institute of Geochemistry, CAS; Chinese Academy of Sciences; Swiss Federal Institutes of Technology Domain; Swiss Federal Institute of Aquatic Science &amp; Technology (EAWAG); Swiss Federal Institutes of Technology Domain; ETH Zurich</t>
  </si>
  <si>
    <t>Shen, CD (corresponding author), Chinese Acad Sci, Guangzhou Inst Geochem, Guangzhou 510640, Peoples R China.</t>
  </si>
  <si>
    <t>UNIV ARIZONA DEPT GEOSCIENCES</t>
  </si>
  <si>
    <t>TUCSON</t>
  </si>
  <si>
    <t>RADIOCARBON 4717 E FORT LOWELL RD, TUCSON, AZ 85712 USA</t>
  </si>
  <si>
    <t>0033-8222</t>
  </si>
  <si>
    <t>Radiocarbon</t>
  </si>
  <si>
    <t>113KU</t>
  </si>
  <si>
    <t>WOS:000075550800032</t>
  </si>
  <si>
    <t>Wells, DN; Misica, PM; Tervit, HR; Vivanco, WH</t>
  </si>
  <si>
    <t>Adult somatic cell nuclear transfer is used to preserve the last surviving cow of the Enderby Island cattle breed</t>
  </si>
  <si>
    <t>REPRODUCTION FERTILITY AND DEVELOPMENT</t>
  </si>
  <si>
    <t>bovine; cloning; conservation; development; embryo; granulosa</t>
  </si>
  <si>
    <t>IN-VITRO; EMBRYO-TRANSFER; BOVINE OOCYTE; FETAL FIBROBLASTS; TRANSFER CLONING; GRANULOSA-CELLS; SHEEP; LINE; AGE; ACTIVATION</t>
  </si>
  <si>
    <t>To preserve the female genetics of an endangered breed of cattle, adapted to sub-Antarctic conditions, adult somatic cell nuclear transfer was used to clone the last surviving Enderby Island cow from mural granulosa cells. Embryos reconstructed with metaphase II cytoplasts and quiescent cells were either activated and fused simultaneously (AFS) at 24 or 30 hours post maturation (hpm) or alternatively, fused 4-6 h before activation at 26-30 hpm (FBA). A significantly higher proportion of fused embryos developed in vitro to grade 1-3 blastocysts on Day 7 with FB4 (39.8+/-2.8%) compared to AFS with activation either at 24 hpm (10.6+/-3.9%, P&lt;0.01) or at 30 hpm (18.6+/-4.1%, P&lt;0.01). Following the transfer of 74 embryos from the FBA treatment over two experiments, survival rates on Days 30, 55, 85, 150 and 190 of pregnancy were 38%, 30%, 23%, 16% and 15%, respectively. Of 22 embryos transferred in the first experiment, two calves were born alive with one calf surviving. DNA analyses confirmed that the calves were genetically identical to the Enderby Island cow Additional pregnancies are currently ongoing. These data show that embryo development is increased by prolonged exposure of quiescent somatic cell nuclei to oocyte cytoplasm before artificial activation, possibly facilitating nuclear reprogramming. The successful demonstration of somatic cell nuclear transfer in animal conservation extends the applications of the technology beyond the main agricultural and biomedical interests.</t>
  </si>
  <si>
    <t>AgResearch, Reprod Technol Grp, Hamilton, New Zealand; AgResearch, ArTech, Ruakura Res Ctr, Hamilton, New Zealand</t>
  </si>
  <si>
    <t>AgResearch - New Zealand; AgResearch - New Zealand</t>
  </si>
  <si>
    <t>AgResearch, Reprod Technol Grp, PB 3123, Hamilton, New Zealand.</t>
  </si>
  <si>
    <t>wellsd@agresearch.cri.nz</t>
  </si>
  <si>
    <t>王, 士勇/B-5170-2012</t>
  </si>
  <si>
    <t>Wells, David/0000-0002-8729-4958</t>
  </si>
  <si>
    <t>CSIRO PUBLISHING</t>
  </si>
  <si>
    <t>CLAYTON</t>
  </si>
  <si>
    <t>UNIPARK, BLDG 1, LEVEL 1, 195 WELLINGTON RD, LOCKED BAG 10, CLAYTON, VIC 3168, AUSTRALIA</t>
  </si>
  <si>
    <t>1031-3613</t>
  </si>
  <si>
    <t>1448-5990</t>
  </si>
  <si>
    <t>REPROD FERT DEVELOP</t>
  </si>
  <si>
    <t>Reprod. Fertil. Dev.</t>
  </si>
  <si>
    <t>10.1071/R98109</t>
  </si>
  <si>
    <t>Developmental Biology; Reproductive Biology; Zoology</t>
  </si>
  <si>
    <t>270WX</t>
  </si>
  <si>
    <t>WOS:000084561100009</t>
  </si>
  <si>
    <t>Yablokov, AV; Zemsky, VA; Mikhalev, YA; Tormosov, VV; Berzin, AA</t>
  </si>
  <si>
    <t>Data on Soviet whaling in the Antarctic in 1947-1972 (population aspects)</t>
  </si>
  <si>
    <t>RUSSIAN JOURNAL OF ECOLOGY</t>
  </si>
  <si>
    <t>More precise data on the extent of commercial removal from populations of large whale species in the Southern Hemisphere and in tropical waters of the Northern Hemisphere are presented. In the light of new facts, the models of population recovery and stabilization of some species in the World Ocean should be reviewed.</t>
  </si>
  <si>
    <t>Ctr Ecol Policy Russia, Moscow 117334, Russia</t>
  </si>
  <si>
    <t>Yablokov, AV (corresponding author), Ctr Ecol Policy Russia, Ul Vavilova 26, Moscow 117334, Russia.</t>
  </si>
  <si>
    <t>MAIK NAUKA/INTERPERIODICA</t>
  </si>
  <si>
    <t>C/O PLENUM/CONSULTANTS BUREAU 233 SPRING ST, NEW YORK, NY 10013 USA</t>
  </si>
  <si>
    <t>1067-4136</t>
  </si>
  <si>
    <t>RUSS J ECOL+</t>
  </si>
  <si>
    <t>Russ. J. Ecol.</t>
  </si>
  <si>
    <t>YX111</t>
  </si>
  <si>
    <t>WOS:000072007500007</t>
  </si>
  <si>
    <t>Konvalin, C; Logar, A; Lloyd, D; Corwin, E; Penaloza, M; Feind, R; Welch, R</t>
  </si>
  <si>
    <t>Haigh, JD</t>
  </si>
  <si>
    <t>Development of advanced global cloud classification schemes</t>
  </si>
  <si>
    <t>SATELLITE REMOTE SENSING OF CLOUDS AND THE ATMOSPHERE II</t>
  </si>
  <si>
    <t>Conference on Satellite Remote Sensing of Clouds and the Atmosphere II</t>
  </si>
  <si>
    <t>SEP 23-25, 1997</t>
  </si>
  <si>
    <t>LONDON, ENGLAND</t>
  </si>
  <si>
    <t>remote sensing; cloud classification; neural networks; fuzzy logic; genetic algorithms</t>
  </si>
  <si>
    <t>The problem of producing polar cloud masks for satellite imagery is an important facet of the research on global warming. For the past three years, our research on this topic has produced a series of classifiers. The first classifier used traditional statistical techniques, and, although the performance was reasonably good, better accuracy and faster classification speeds were desired. Neural network classifiers provided an improvement in both classification speed and accuracy but a single monolithic network proved difficult to train and was computationally expensive. A decomposition of the neural network into a hierarchical structure provided significant reductions in training time and some increase in accuracy. While this technique produced excellent results, to optimize its performance a minimal feature set and a highly accurate and easily computed switching mechanism must be identified. This paper presents recent developments in these two areas. Landsat Thematic Mapper (TM) data from the arctic and antarctic was used to test the network. A minimal feature set, which defines the elements of the network input vector, is desirable for both improving accuracy and reducing computation. A smaller input vector will reduce the number of weights which must be updated during training and concomitantly reduce training and testing times. Small input vectors are also desirable because of the oft-cited curse of dimensionality which states the higher the dimension of the problem to be solved, the more difficult it will be for the network to find an acceptable solution. However, it is also known that if a network has insufficient information, it will not be possible to form an appropriate decision surface. In that case, additional features, and additional dimensions, are required. Finding the proper balance can be difficult. previously, trial and error was used to find a good selection of features for classification. Features were added individually and those which had no impact on the neural network classification were deleted, A new approach clusters the features and selects the members of the cluster with the highest information content. Features are still removed one at a time but clustering ensures that statistically different features are preserved and allows for parallelization of the feature selection process. In addition, a fuzzy expert system provides a much faster classification accuracy approximation. This technique was able to significantly reduce the size of the feature vectors without sacrificing classification accuracy. The switching mechanism used in this work employs a series of static and adaptive thresholds derived from statistical analysis of polar scenes. This technique is faster than the corresponding neural network switching mechanism and can be easily changed as additional data becomes available. The resulting system, then, uses the adaptive thresholds to select the appropriate neural network from a collection of multilayer perceptron networks each responsible for classifying a subset of the total number of classes. The inputs to these networks are selected by the fuzzy logic algorithm. The difficulty of finding these thresholds, a task performed by a human expert, motivated the use of a genetic algorithm to determine these values. This system was able to achieve 96.45% accuracy on the fundamental problem of distinguishing cloud from non-cloud classes. The time required to classify 468,750 pixels in a satellite image was 50 seconds.</t>
  </si>
  <si>
    <t>S Dakota Sch Mines &amp; Technol, Rapid City, SD 57701 USA</t>
  </si>
  <si>
    <t>South Dakota School Mines &amp; Technology</t>
  </si>
  <si>
    <t>Konvalin, C (corresponding author), S Dakota Sch Mines &amp; Technol, Rapid City, SD 57701 USA.</t>
  </si>
  <si>
    <t>0-8194-2652-0</t>
  </si>
  <si>
    <t>BK46E</t>
  </si>
  <si>
    <t>WOS:000072275500029</t>
  </si>
  <si>
    <t>Ivy-Ochs, S; Kubik, PW; Masarik, J; Wieler, R; Bruno, L; Schlüchter, C</t>
  </si>
  <si>
    <t>Preliminary results on the use of pyroxene for 10Be surface exposure dating</t>
  </si>
  <si>
    <t>SCHWEIZERISCHE MINERALOGISCHE UND PETROGRAPHISCHE MITTEILUNGEN</t>
  </si>
  <si>
    <t>Be-10; pyroxene; cosmogenic isotopes; surface exposure dating; Antarctic Sirius Group</t>
  </si>
  <si>
    <t>COSMOGENIC HE-3; SIRIUS GROUP; DRY-VALLEYS; AGES; METEORITES; SEDIMENTS; DEPOSITS; EROSION; AL-26; RATES</t>
  </si>
  <si>
    <t>We report Be-10 data from two sequential dissolution series of pyroxenes separated from Antarctic dolerites with exposure ages around 2 Ma. The goal of these experiments was to test whether pyroxene is suitable for exposure dating with Be-10 or whether meteoric Be-10 cannot be quantitatively removed from this mineral. Because pyroxene retains He-3 and Ne-21 quantitatively, it is an attractive mineral for exposure dating. The measurement of Be-10 in the same mineral would complement the noble gas results by revealing possible episodes of prior exposure (when there has been an intervening period of burial). In the first of two dissolution series, the final Be-10 concentration was 26% greater than the concentration expected based on the He-3 and Ne-21 exposure age of 2.4 Ma. Given production rate uncertainties of perhaps up to 20%, it is possible that meteoric Be-10 was completely removed from this sample after two dissolution steps. However, in the second series the final Be-10 concentration was almost four times greater than that expected from the noble gas exposure age of 1.8 Ma. This indicates that, using the standard hydrofluoric leaching technique, meteoric Be-10 is in some cases not removed completely from pyroxene grains. This is in contrast to quartz, where after only one hydrofluoric leaching step meteoric Be-10 is completely removed. An explanation is that meteoric Be-10 resides within secondary minerals inside weathered pyroxene grains, and thus cannot be removed even with a rigorous cleaning.</t>
  </si>
  <si>
    <t>Univ Bern, Inst Geol, CH-3012 Bern, Switzerland; ETH Honggerberg, Paul Scherrer Inst, Inst Teilchenphys, CH-8093 Zurich, Switzerland; Komensky Univ, Dept Phys Nucl, SK-84215 Bratislava, Slovakia; ETH Zurich, Inst Isotopengeol, CH-8092 Zurich, Switzerland</t>
  </si>
  <si>
    <t>University of Bern; Swiss Federal Institutes of Technology Domain; ETH Zurich; Paul Scherrer Institute; Comenius University Bratislava; Swiss Federal Institutes of Technology Domain; ETH Zurich</t>
  </si>
  <si>
    <t>Univ Bern, Inst Geol, CH-3012 Bern, Switzerland.</t>
  </si>
  <si>
    <t>ivy@particle.phys.ethz.ch</t>
  </si>
  <si>
    <t>Wieler, Rainer/A-1355-2010; Masarik, Jozef/A-8008-2018</t>
  </si>
  <si>
    <t>Wieler, Rainer/0000-0001-5666-7494</t>
  </si>
  <si>
    <t>STAUBLI VERLAG AG</t>
  </si>
  <si>
    <t>ZURICH</t>
  </si>
  <si>
    <t>POSTFACH 566, CH-8045 ZURICH, SWITZERLAND</t>
  </si>
  <si>
    <t>0036-7699</t>
  </si>
  <si>
    <t>SCHWEIZ MINER PETROG</t>
  </si>
  <si>
    <t>Schweiz. Mineral. Petrogr. Mitt.</t>
  </si>
  <si>
    <t>Geology; Mineralogy</t>
  </si>
  <si>
    <t>148AR</t>
  </si>
  <si>
    <t>WOS:000077530500002</t>
  </si>
  <si>
    <t>Stoker, MS; Akhurst, MC; Howe, JA; Stow, DAV</t>
  </si>
  <si>
    <t>Sediment drifts and contourites on the continental margin off northwest Britain</t>
  </si>
  <si>
    <t>SEDIMENTARY GEOLOGY</t>
  </si>
  <si>
    <t>3rd International Workshop on Bottom Currents and Contourites, at the 14th International Sedimentological Congress</t>
  </si>
  <si>
    <t>AUG, 1994</t>
  </si>
  <si>
    <t>RECIFE, BRAZIL</t>
  </si>
  <si>
    <t>sediment drifts; contourite deposits; sediment waves; continental margin; Rockall Trough; Faeroe-Shetland Channel</t>
  </si>
  <si>
    <t>NORTHERN ROCKALL TROUGH; FAEROE-SHETLAND CHANNEL; ATLANTIC-OCEAN; SLOPE-CURRENT; HEBRIDES SLOPE; STRATIGRAPHY; WAVES; BASIN</t>
  </si>
  <si>
    <t>Seismic reflection profiles and short cores from the continental margin off northwest Britain have revealed a variety of sediment-drift styles and contourite deposits preserved in the northeast Rockall Trough and Faeroe-Shetland Channel. The sediment drifts include: (1) distinctly mounded elongate drifts, both single-and multi-crested; (2) broad sheeted drift forms, varying from gently domed to flat-lying; and (3) isolated patch drifts, including moat-related drifts. Fields of sediment waves are locally developed in association with the elongate and gently domed, broad sheeted drifts. The contrasting styles of the sediment drifts most probably reflect the interaction between a Variable bottom-current regime and the complex bathymetry of the continental margin. The bulk of the mounded/gently domed drifts occur in the northeast Rockall Trough, whereas the flat-lying sheet-form deposits occur in the Faeroe-Shetland Channel, a much narrower basin which appears to have been an area more of sediment export than drift accumulation. Patch drifts are present in both basins. In the northeast Rockall Trough, the along-strike variation from single- to multi-crested elongate drifts may be a response to bottom-current changes influenced by developing drift topography. Muddy, silty muddy and sandy contourites have been recovered in sediment cores from the uppermost parts of the drift sequences. On the basis of their glaciomarine origin, these mid-to high-latitude contourites can be referred to, collectively, as glacigenic contourites. Both partial and complete contourite sequences are preserved; the former consist largely of sandy (mid-only) and top-only contourites. Sandy contourites, by their coarse-grained nature and their formation under strongest bottom-current flows, are the most likely to be preserved in the rock record. However, the very large scale of sediment drifts should be borne in mind with regard to the recognition of fossil contourites in ancient successions. (C) 1998 Natural Environment Research Council. Published by Elsevier Science B.V.</t>
  </si>
  <si>
    <t>British Geol Survey, Edinburgh EH9 3LA, Midlothian, Scotland; British Antarctic Survey, Cambridge CB3 0ET, England; Univ Southampton, Dept Geol, Southampton Oceanog Ctr, Southampton SO14 3ZH, Hants, England</t>
  </si>
  <si>
    <t>UK Research &amp; Innovation (UKRI); Natural Environment Research Council (NERC); NERC British Geological Survey; UK Research &amp; Innovation (UKRI); Natural Environment Research Council (NERC); NERC British Antarctic Survey; University of Southampton; NERC National Oceanography Centre</t>
  </si>
  <si>
    <t>Stoker, MS (corresponding author), British Geol Survey, Murchison House,W Mains Rd, Edinburgh EH9 3LA, Midlothian, Scotland.</t>
  </si>
  <si>
    <t>Stoker, Martyn/0000-0002-5314-0950</t>
  </si>
  <si>
    <t>0037-0738</t>
  </si>
  <si>
    <t>SEDIMENT GEOL</t>
  </si>
  <si>
    <t>Sediment. Geol.</t>
  </si>
  <si>
    <t>10.1016/S0037-0738(97)00086-9</t>
  </si>
  <si>
    <t>YX616</t>
  </si>
  <si>
    <t>WOS:000072058700003</t>
  </si>
  <si>
    <t>Faugeres, JC; Imbert, P; Mezerais, ML; Cremer, M</t>
  </si>
  <si>
    <t>Seismic patterns of a muddy contourite fan (Vema Channel, South Brazilian Basin) and a sandy distal turbidite deep-sea fan (Cap Ferret system, Bay of Biscay): a comparison</t>
  </si>
  <si>
    <t>contourite drift; distal deep-sea fan; seismic patterns; Neogene; Quaternary; S. Brazilian Basin; Bay of Biscay</t>
  </si>
  <si>
    <t>CONTINENTAL RISE; ATLANTIC-OCEAN; SOUTHWESTERN ATLANTIC; ECHO CHARACTER; UNITED-STATES; MARGIN; WATER; SEDIMENTOLOGY; UNDERCURRENT; STRATIGRAPHY</t>
  </si>
  <si>
    <t>The aim of this paper is to discriminate the depositional facies, geometries and mechanisms of deposition of contouritic fans from those of turbidite distal fans, with a view to provide better resolution of reservoir prediction. Two examples are analysed: the Vema contouritic drift in the South Brazilian Basin and the Cap Ferret turbiditic fan in the Bay of Biscaye. The Vema contourite fan is a Neogene mud-rich accumulation (200 - 400 m thick), fed by Antarctic Bottom Water bottom currents and located downstream of the Rio Grande Rise. It forms one single-mound fan-shaped body in between two major channels, and where the main part of the deep circulation is funnelled into. As a result of the morphological and hydrological background, the contourite drift progrades mostly downstream. The accumulation was built as several depositional units ('channel-levee' systems) bounded by widespread discontinuities showing erosional patterns. This resulted from episodes of strong and/or unstable current activity producing the discontinuities, alternating with periods of relatively weak and stable currents and major deposition. The Pliocene-Quaternary Cap Ferret distal deep-sea fan is a thick (500 m) sand-rich turbiditic accumulation fed directly by an uplifting mountain range. The accumulation is developed downstream of a main turbiditic feeder channel and the volume of sediment involved is much higher than for the Vema contourite fan. It shows a complex network of shallow channels and low-relief levees which merge downstream into thin, sandy, sheet-like deposits. Several depositional units are stacked vertically. Each unit is built by the lateral migration of a 'channel-levee' system. The stacking pattern of the successive units is prograding towards the basin. The presence of major discontinuities cutting throughout a whole accumulation, and the fairly irregular geometry of the 'channel-levee' deposits (absence of any obvious migrating trend), appear to be the most distinctive features of a contourite fan. On the other hand, the lateral migration of the 'channel-level' geometries and the presence of erosional surfaces of limited extent and restricted to the channels, are the main diagnostic features of a distal turbidite fan. Otherwise the seismo-facies are fairly similar in both sedimentary bodies. (C) 1998 Elsevier Science B.V. All rights reserved.</t>
  </si>
  <si>
    <t>Univ Bordeaux 1, DGO URA CNRS 197, Dept Geol &amp; Oceanog, F-33405 Talence, France; TOTAL CST, F-78470 St Remy Les Chevreuse, France</t>
  </si>
  <si>
    <t>Universite de Bordeaux; Total SA</t>
  </si>
  <si>
    <t>Faugeres, JC (corresponding author), Univ Bordeaux 1, DGO URA CNRS 197, Dept Geol &amp; Oceanog, Ave Fac, F-33405 Talence, France.</t>
  </si>
  <si>
    <t>faugeres@geocean.u-bordeaux.fr</t>
  </si>
  <si>
    <t>10.1016/S0037-0738(97)00088-2</t>
  </si>
  <si>
    <t>WOS:000072058700005</t>
  </si>
  <si>
    <t>Masse, L; Faugeres, JC; Hrovatin, V</t>
  </si>
  <si>
    <t>The interplay between turbidity and contour current processes on the Columbia Channel fan drift, Southern Brazil Basin</t>
  </si>
  <si>
    <t>turbidites; contourites; Brazil Basin; AABW; echofacies; contour currents</t>
  </si>
  <si>
    <t>CURRENT REWORKED SANDS; GULF-OF-MEXICO; DEEP-MARINE; ANCIENT SEDIMENTS; CONTINENTAL RISE; ECHO CHARACTER; UNITED-STATES; VEMA CHANNEL; MARGIN; SEA</t>
  </si>
  <si>
    <t>The distribution of sedimentary processes and associated deposits on the Columbia Channel fan drift system (Southern Brazil Basin) were investigated on the basis of 3.5-kHz echosounding profiles and core lithology. This system is composed of a sediment levee elongated downslope with a W-E then SW-NE trend, bounded to the south by the Columbia Channel and to the north by the Vitoria-Trindade seamounts. Turbidites are widespread on the shallowest part of the system: (1) thick turbidite sequences composed of quartz-rich sandy material originating from the upper continental margin are found in the axis of the channel; the turbidity currents do not significantly overflow the northern levee, where only sparse and thin silty-muddy turbidites occur close to the axis of the channel; (2) the major part of the levee shows quartz-poor, mica-and foram-rich turbidite material originating from the Vitoria-Trindade seamounts. The abundance of this material decreases southwards and eastwards. The whole area is swept by the northward flowing Antarctic Bottom Water. Contour-current deposited muds are dominant on the southern flank of the Columbia Channel, free of any turbidite supply as a consequence of the Coriolis effect, and on the deepest part of the northern levee, remote from turbidite source areas. However, the contour currents interplay with the turbidity currents on the shallowest part of the levee. Contour-current deposited muds are interbedded with silty-sandy turbidite sequences, and a part of the muddy material has probably been pirated from the finer tails of the turbidity flows, the other part being transported from southernmost areas by the bottom currents. The interplay of both processes is also responsible for the deposition of silty turbidite beds, top-truncated by contour currents and overlain by bioturbated muddy contourites. (C) 1998 Elsevier Science B.V. All rights reserved.</t>
  </si>
  <si>
    <t>Univ Bordeaux 1, Dept Geol &amp; Oceanog, CNRS URA 197, F-33405 Talence, France</t>
  </si>
  <si>
    <t>Centre National de la Recherche Scientifique (CNRS); Universite de Bordeaux</t>
  </si>
  <si>
    <t>Faugeres, JC (corresponding author), Univ Bordeaux 1, Dept Geol &amp; Oceanog, CNRS URA 197, Ave Fac, F-33405 Talence, France.</t>
  </si>
  <si>
    <t>10.1016/S0037-0738(97)00089-4</t>
  </si>
  <si>
    <t>WOS:000072058700006</t>
  </si>
  <si>
    <t>Gilbert, IM; Pudsey, CJ; Murray, JW</t>
  </si>
  <si>
    <t>A sediment record of cyclic bottom-current variability from the northwest Weddell Sea</t>
  </si>
  <si>
    <t>bottom currents; echo character; foraminifera; glacial cycles; sediment transport; Weddell Sea</t>
  </si>
  <si>
    <t>BENTHIC FORAMINIFERAL ASSEMBLAGES; YOUNGER DRYAS EVENT; ARGENTINE BASIN; ECHO CHARACTER; DEEP-SEA; CONTINENTAL-MARGIN; PROJECT MUDWAVES; ATLANTIC-OCEAN; CURRENT SPEED; NEW-ZEALAND</t>
  </si>
  <si>
    <t>Cores and 3.5 kHz sub-bottom profiles collected from the continental slope and rise near 64 degrees S, 52 degrees W: off the tip of the Antarctic Peninsula, reveal transport and depositional processes in a high-energy environment. A large channel runs downslope from the shelf break; the remaining slope area is smooth and shows no acoustic penetration, except locally in the lee of topography. Sediments on the slope and rise were mainly deposited by suspension from a 150 to 300 m thick nepheloid layer Periodic resuspension and winnowing by bottom currents has produced coarse lags of ice-rafted debris throughout these deposits and has also produced an elongated field of mudwaves running parallel to the base of the slope. These low-amplitude, asymmetric features were formed by currents flowing from west to east, parallel to the local slope. Short gravity cores show a compositional and textural cyclicity developed between two distinct lithologies. Intervals of poorly sorted sediment, barren of fauna and with mud-dominated size distributions, are interpreted to result from a cold climate and low bottom-current strength. Production of Weddell Sea Bottom Water probably lessened during these times and there was a greater duration of sea-ice cover. These sediments are interbedded with winnowed and better-sorted deposits comprising fine sands and silts that contain abundant planktonic foraminifera, interpreted as implying warmer climatic conditions and stronger current activity. A varied calcareous benthic foraminiferal assemblage also indicates that these intervals lay above the CCD during deposition. Renewed and invigorated production of bottom water is implied, contemporaneous with a shorter duration of sea-ice cover. Petrographic evidence indicates an Antarctic Peninsula source throughout. The cycles are considered to be the result of climatic fluctuations occurring over the timespan of glacial interstadials, although confirmation of this timescale awaits acquisition of an absolute chronology. (C) 1998 Elsevier Science B.V. All rights reserved.</t>
  </si>
  <si>
    <t>British Antarctic Survey, Cambridge CB3 0ET, England; Univ Southampton, Dept Geol, Southampton SO14 3ZH, Hants, England</t>
  </si>
  <si>
    <t>UK Research &amp; Innovation (UKRI); Natural Environment Research Council (NERC); NERC British Antarctic Survey; University of Southampton</t>
  </si>
  <si>
    <t>Pudsey, CJ (corresponding author), British Antarctic Survey, Madingley Rd, Cambridge CB3 0ET, England.</t>
  </si>
  <si>
    <t>10.1016/S0037-0738(97)00093-6</t>
  </si>
  <si>
    <t>WOS:000072058700010</t>
  </si>
  <si>
    <t>Park, HW; Habib, S; Cunningham, FG; Herman, J; Bhartia, PK; Salikhov, R; Chernikov, A</t>
  </si>
  <si>
    <t>Fujisada, H</t>
  </si>
  <si>
    <t>Joint Russian-USA Meteor-3M(2)/TOMS-5 mission</t>
  </si>
  <si>
    <t>SENSORS, SYSTEMS, AND NEXT-GENERATION SATELLITES II</t>
  </si>
  <si>
    <t>Conference on Sensors, Systems, and Next-Generation Satellites II</t>
  </si>
  <si>
    <t>SEP 21-24, 1998</t>
  </si>
  <si>
    <t>BARCELONA, SPAIN</t>
  </si>
  <si>
    <t>ozone; ultraviolet; backscatter; spectrometer; TOMS; Meteor-3M</t>
  </si>
  <si>
    <t>TOMS</t>
  </si>
  <si>
    <t>Meteor-3M(2)/TOMS-5 is a cooperative joint mission between the Russian Space Agency (RSA) and the United States (US) National Aeronautics and Space Administration (NASA). A US Total Ozone Mapping Spectrometer (TOMS) instrument is scheduled to be flown aboard a Russian Meteor-3M satellite in the year 2000. The main science objectives of the mission are to continue global total-ozone measurements to monitor long-term change in global total ozone, to understand processes related to the Antarctic ozone hole, and to improve the understanding of the processes that govern global total ozone. Secondary objectives are to measure aerosol amounts (dust, smoke, volcanic ash, and sulfates) and SO2. This paper describes the Meteor-3M(2) spacecraft, the TOMS-5 experiment operations of Meteor-3M(2)/TOMS-5, and plans for data processing, data archiving and distribution.</t>
  </si>
  <si>
    <t>NASA, Goddard Space Flight Ctr, Greenbelt, MD 20771 USA</t>
  </si>
  <si>
    <t>Park, HW (corresponding author), NASA, Goddard Space Flight Ctr, Greenbelt, MD 20771 USA.</t>
  </si>
  <si>
    <t>; Bhartia, Pawan/A-4209-2016</t>
  </si>
  <si>
    <t>Herman, Jay/0000-0002-9146-1632; Bhartia, Pawan/0000-0001-8307-9137</t>
  </si>
  <si>
    <t>0-8194-2957-0</t>
  </si>
  <si>
    <t>10.1117/12.333659</t>
  </si>
  <si>
    <t>Engineering, Aerospace; Remote Sensing; Optics</t>
  </si>
  <si>
    <t>Engineering; Remote Sensing; Optics</t>
  </si>
  <si>
    <t>BM37Y</t>
  </si>
  <si>
    <t>WOS:000078533900047</t>
  </si>
  <si>
    <t>Ivanovic, ML; Brunetti, NE; Elena, B; Rossi, GR</t>
  </si>
  <si>
    <t>A contribution to the biology of the ommastrephid squid Martialia hyadesi (Rochebrune and Mabille, 1889) from the South-West Atlantic</t>
  </si>
  <si>
    <t>SOUTH AFRICAN JOURNAL OF MARINE SCIENCE-SUID-AFRIKAANSE TYDSKRIF VIR SEEWETENSKAP</t>
  </si>
  <si>
    <t>Updated knowledge on the distribution and biology of the ommastrephid squid Martialia hyadesi in the South-West Atlantic Ocean is presented. Although the species has an Antarctic circumpolar distribution, its most frequent area of appearance is in the South-West Atlantic, where commercial catches have been made. During the 1995 Illex argentinus fishing season, 852 tons of Martialia hyadesi were caught, the largest catches in recent years. The species was captured on the outer shelf and slope, between 38 and 50 degreesS, from March until June. Catches of up to 40 tons per day were obtained in the area between 45 and 48 degreesS (April-June), where surface temperatures ranged between 7 and 9 degreesC. The squid caught were adults (221-375 mm mantle length ML), 70% of the males were mature and 90% of the females were immature. Statolith readings, assuming daily formation of increments, showed that most had hatched during the months October and November. According to stomach content analysis, fish represented 43.9% of the food consumed (90% myctophids), squid 36.6% (70% cannibalism on small juveniles) and zooplankton 19.5%. Juveniles of the same species were caught on the Patagonian slope and in the adjacent oceanic region during spring of 1988 and 1989, most of them in waters of the Malvinas Current (5-7 degreesC). The sizes of those juveniles ranged between 15 and 81 mm ML and the ages (based on statolith increments) between 137 and 150 days, indicating that they had hatched during April.</t>
  </si>
  <si>
    <t>INIDEP, RA-7600 Mar Del Plata, Argentina</t>
  </si>
  <si>
    <t>National Fisheries Research &amp; Development Institute (INIDEP)</t>
  </si>
  <si>
    <t>Ivanovic, ML (corresponding author), INIDEP, Paseo victoria Ocampo 1, RA-7600 Mar Del Plata, Argentina.</t>
  </si>
  <si>
    <t>SEA FISHERIES RESEARCH INST DEPT ENVIRONMENT AFFAIRS</t>
  </si>
  <si>
    <t>CAPE TOWN</t>
  </si>
  <si>
    <t>PRIVATE BAG X2 ROGGE BAY 8012, CAPE TOWN, SOUTH AFRICA</t>
  </si>
  <si>
    <t>0257-7615</t>
  </si>
  <si>
    <t>S AFR J MARINE SCI</t>
  </si>
  <si>
    <t>South Afr. J. Mar. Sci.-Suid-Afr. Tydsk. Seewetens.</t>
  </si>
  <si>
    <t>V2587</t>
  </si>
  <si>
    <t>WOS:000165531100010</t>
  </si>
  <si>
    <t>Clarke, MR; Roper, CFE</t>
  </si>
  <si>
    <t>Cephalopods represented by beaks in the stomach of a sperm whale stranded at Paekakariki, North Island, New Zealand</t>
  </si>
  <si>
    <t>More than 3 000 cephalopod beaks taken from the stomach of a sperm whale stranded at Paekakariki, North Island, New Zealand, were identified to species and measured; estimates were made of the masses and standard lengths of the cephalopods represented. In all, 24 species of cephalopod in 13 families were represented. The most important species were Histioteuthis atlantica (contributing 78.56% of the number and 41.0% of the wet mass estimated from lower rostral lengths), Moroteuthis ingens (11.06% and 15.26%), Taonius pave (3.69% and 2.32%), Taningia danae (1.50% and 8.56%), Moroteuthis robsoni (1.25% and 5.35%), Architeuthis sp. (0.12% and 23.74%) and Kondakovia longimana (0.31% and 1.28%). Other species each contributed less than 1%. A total of 10 lower beaks was from three Antarctic species and show that the whale had been in the Antarctic but probably had been in the New Zealand region for several days, at least, before stranding. The mean wet mass of individuals represented was 432 g, and they varied from 170 to 2 631 mm in standard length.</t>
  </si>
  <si>
    <t>Ancarva, Torpoint PL10 1EZ, Cornwall, England</t>
  </si>
  <si>
    <t>Clarke, MR (corresponding author), Ancarva, Torpoint PL10 1EZ, Cornwall, England.</t>
  </si>
  <si>
    <t>malcolm@teuthis.demon.co.uk; roper.clyde@nmnh.si.edu</t>
  </si>
  <si>
    <t>WOS:000165531100016</t>
  </si>
  <si>
    <t>Rodhouse, PG; Lu, CC</t>
  </si>
  <si>
    <t>Chiroteuthis veranyi from the Atlantic sector of the Southern Ocean (Cephalopoda: Chiroteuthidae)</t>
  </si>
  <si>
    <t>Chiroteuthis veranyi (Ferussac, 1835) (Cephalopoda: Chiroteuthidae) from South Georgia is described from material collected during the British Antarctic Survey's Offshore Biological Programme. The material closely resembles C. veranyi from elsewhere and, in common with C. lacertosa, C. imperator and C. calyx, has two round photophores, one on each side of the ink sac. It also resembles C. lacertosa and C, calyx in the structure of the stalks of the club suckers, which consist of two portions: abroad cylindical basal portion terminates in a dark purple pleated skirt from which arises a slender, sucker-bearing distal portion. The Antarctic material has tentacular club suckers which possess, on the distal half of the ring, a prominent central recurved median tooth flanked by two triangular teeth on each side. The proximal half of the ring is smooth. The proximity of the location where the specimens were collected to the Antarctic Circumpolar Current suggests that the species may be widely distributed in the Southern Ocean.</t>
  </si>
  <si>
    <t>Rodhouse, PG (corresponding author), British Antarctic Survey, High Cross,Madingley Rd, Cambridge CB3 0ET, England.</t>
  </si>
  <si>
    <t>Rodhouse, Paul/0000-0001-5399-967X</t>
  </si>
  <si>
    <t>WOS:000165531100033</t>
  </si>
  <si>
    <t>Waluda, CM; Pierce, GJ</t>
  </si>
  <si>
    <t>Temporal and spatial patterns in the distribution of squid Loligo spp. in United Kingdom waters</t>
  </si>
  <si>
    <t>A Geographic Information System (GIS) was used to test hypotheses regarding the spatial distribution of the squid Loligo forbesi and Loligo vulgaris vulgaris in the northern North-East Atlantic during the years 1989-1994. Loligo spp. were present throughout coastal waters of the United Kingdom, but distribution was patchy and highly variable over space and time. The relationship between squid distribution and sea temperature and salinity in the North Sea was examined by overlaying maps of squid abundance (landings per unit effort lpue) and oceanographic variables, and using correlation and multiple regression analysis. Bottom temperature was most frequently correlated with lpue, with correlations between squid and oceanographic parameters occurring most often in January and February of a given year. Monthly changes in distribution patterns are consistent with squid undertaking seasonal migrations around the coast of the U.K. It is at present unknown whether temperature and salinity influence squid distribution directly (e.g. reflecting physiological tolerance limits), through effects on recruitment, growth or mortality, or indirectly as a result of passive movement of squid into the North Sea during inflow of warmer Atlantic water.</t>
  </si>
  <si>
    <t>Univ Aberdeen, Dept Zool, Aberdeen AB9 1FX, Scotland</t>
  </si>
  <si>
    <t>University of Aberdeen</t>
  </si>
  <si>
    <t>Waluda, CM (corresponding author), British Antarctic Survey, High Cross,Madingley Rd, Cambridge CB3 0ET, England.</t>
  </si>
  <si>
    <t>Pierce, Graham/A-5404-2018</t>
  </si>
  <si>
    <t>Pierce, Graham/0000-0002-4744-4501</t>
  </si>
  <si>
    <t>WOS:000165531100034</t>
  </si>
  <si>
    <t>Vecchione, M; Piatkowski, U; Allcock, AL</t>
  </si>
  <si>
    <t>Biology of the cirrate octopod Grimpoteuthis glacialis (Cephalopoda; Opisthoteuthididae) in the South Shetland Islands, Antarctica</t>
  </si>
  <si>
    <t>The capture of 52 specimens of the cirrate octopod Grimpoteuthis glacialis (Robson, 1930), of dorsal mantle length 20-165 mm during a 1996 trawling survey near the Antarctic Peninsula allowed the basic biology of the species to be examined. Their presence in bottom trawls at depths of 333-879 m, but their absence from benthopelagic and pelagic trawls, is consistent with a primarily benthic habitat. The largest single sample, 40 animals, came from a soft mud bottom and highlights the patchy nature of the distribution. Males tended to be bigger in total length and mass than females of similar mantle length. The males, however, were mature at a smaller size. Mature males have tiny sperm packets, rather than typical cephalopod spermatophores,in their distal reproductive tract. Mature females have large, smooth eggs in the proximal oviduct, in the huge oviducal gland and in the distal oviduct. Eggs in the distal oviduct have a thick, sticky coating that hardens in seawater into a secondary egg case. Ovarian eggs vary greatly in size, possibly indicating protracted egg laying. Observations on live animals indicate that the species swims primarily by fin action, rather than by jetting or medusoid pulses with the arm/web complex. It may be capable of limited changes in colour pattern, especially on the oral surface of the web. Three pairs of surface structures that appear superficially to be white spots anterior to the eyes and near the bases of the fins are actually transparent patches in the skin. When considered in association with the transparent subdermal layer and the anatomy of the eyes, optic nerves and optic lobes, these clear patches seem to function in detecting unfocused light on the horizontal plane of the benthic animal.</t>
  </si>
  <si>
    <t>Natl Marine Fisheries Serv, Systemat Lab, Natl Museum Nat Hist, Washington, DC 20560 USA</t>
  </si>
  <si>
    <t>Smithsonian Institution; Smithsonian National Museum of Natural History; National Oceanic Atmospheric Admin (NOAA) - USA</t>
  </si>
  <si>
    <t>Vecchione, M (corresponding author), Natl Marine Fisheries Serv, Systemat Lab, Natl Museum Nat Hist, Washington, DC 20560 USA.</t>
  </si>
  <si>
    <t>Allcock, Louise/A-7359-2012; Piatkowski, Uwe/G-4161-2011</t>
  </si>
  <si>
    <t>Allcock, Louise/0000-0002-4806-0040; Piatkowski, Uwe/0000-0003-1558-5817</t>
  </si>
  <si>
    <t>WOS:000165531100042</t>
  </si>
  <si>
    <t>Bodeker, GE; Scourfield, MWJ</t>
  </si>
  <si>
    <t>Estimated past and future variability in UV radiation in South Africa based on trends in total column ozone</t>
  </si>
  <si>
    <t>QUASI-BIENNIAL OSCILLATION; ATMOSPHERIC OZONE; ANTARCTIC VORTEX; EARTHS SURFACE; POLAR VORTEX; STRATOSPHERE; PROPAGATION; IRRADIANCE; DEPLETION; AEROSOLS</t>
  </si>
  <si>
    <t>Recently released version 7 total column ozone data from the satellite-borne TOMS (Total Ozone Mapping Spectrometer) instruments have been used as input to a radiative transfer model to estimate the past variability in noon clear-sky erythemal UV radiation over the mid-latitude South African cities of Johannesburg, Bloemfontein, Durban, Cape Town and Port Elizabeth, from 1978 to 1994. A linear least squares regression model, based on measured geophysical time series, was then used to parameterise the temporal variability in column ozone. By making assumptions regarding the repeatability of these basic time series, the regression model could then be used to estimate future ozone levels and, through use of the radiative transfer model, future erythemal UV levels. The statistically insignificant trends in total column ozone derived from the version 7 TOMS data for these five cities result in only small long-term increases in surface UV radiation. However the relative phases of the various cyclical signals underlying the variability in total column ozone could result in summer erythemal UV levels being 1-2 mu W cm(-2) (2.5% to 7%) higher in 1998, 2000 and 2007 than in intermediate years, within the constraints of the ozone regression model. Furthermore, differences in surface erythemal irradiance resulting from the geographical separation between the five cities can be expected to exceed long-term trend effects in the near future.</t>
  </si>
  <si>
    <t>Natl Inst Water &amp; Atmospher Res, Lauder, Central Otago, New Zealand; Univ Natal, Space Phys Res Inst, ZA-4041 Durban, South Africa</t>
  </si>
  <si>
    <t>National Institute of Water &amp; Atmospheric Research (NIWA) - New Zealand; University of Kwazulu Natal</t>
  </si>
  <si>
    <t>Bodeker, GE (corresponding author), Natl Inst Water &amp; Atmospher Res, Lauder, Central Otago, New Zealand.</t>
  </si>
  <si>
    <t>bodeker@kea.lauder.cri.nz</t>
  </si>
  <si>
    <t>Bodeker, Greg E/A-8870-2008</t>
  </si>
  <si>
    <t>Bodeker, Gregory/0000-0003-1094-5852</t>
  </si>
  <si>
    <t>BUREAU SCIENTIFIC PUBL</t>
  </si>
  <si>
    <t>PRETORIA</t>
  </si>
  <si>
    <t>P O BOX 2600, PRETORIA 0001, SOUTH AFRICA</t>
  </si>
  <si>
    <t>ZK850</t>
  </si>
  <si>
    <t>WOS:000073370100006</t>
  </si>
  <si>
    <t>Flynn, M; Bubenheim, D</t>
  </si>
  <si>
    <t>ElGenk, MS</t>
  </si>
  <si>
    <t>Commercialization of regenerative life support systems</t>
  </si>
  <si>
    <t>SPACE TECHNOLOGY AND APPLICATIONS INTERNATIONAL FORUM - 1998, PTS 1-3: 1ST CONF ON GLOBAL VIRTUAL PRESENCE; 1ST CONF ON ORBITAL TRANSFER VEHICLES; 2ND CONF ON APPLICAT OF THERMOPHYS IN MICROGRAV; 3RD CONF ON COMMERCIAL DEV OF SPACE; 3RD CONF ON NEXT GENERAT LAUNCH SYST; 15TH SYMP ON SPACE NUCL POWER AND PROPULSION</t>
  </si>
  <si>
    <t>1998 Space Technology and Applications International Forum (STAIF-98) - Progress in Expanding the Space Frontier</t>
  </si>
  <si>
    <t>JAN, 1998</t>
  </si>
  <si>
    <t>ALBUQUERQUE, NM</t>
  </si>
  <si>
    <t>Over the past 30 years NASA has funded research into the development of self sustained habitats for use as future Lunar and Martian outposts. A key element of this work has been the development of small scale liquid and solid waste processors. A secondary goal of this research has been to transfer this technology base to the private sector. This paper describes several programs which are involved in this Advanced Life Support technology transfer activity. The two programs highlighted in this paper are the CELSS Antarctic Analog Program and the Advanced Life Support for Extreme Environments program.</t>
  </si>
  <si>
    <t>NASA, Ames Res Ctr, Moffett Field, CA 94035 USA</t>
  </si>
  <si>
    <t>National Aeronautics &amp; Space Administration (NASA); NASA Ames Research Center</t>
  </si>
  <si>
    <t>Flynn, M (corresponding author), NASA, Ames Res Ctr, MS 239-15, Moffett Field, CA 94035 USA.</t>
  </si>
  <si>
    <t>1-56396-747-2</t>
  </si>
  <si>
    <t>Engineering, Aerospace; Remote Sensing; Physics, Applied</t>
  </si>
  <si>
    <t>Engineering; Remote Sensing; Physics</t>
  </si>
  <si>
    <t>BK50G</t>
  </si>
  <si>
    <t>WOS:000072374200138</t>
  </si>
  <si>
    <t>Scharpenseel, HW; Pfeiffer, EM</t>
  </si>
  <si>
    <t>Blume, HP; Eger, H; Fleischhauer, E; Hebel, A; Reij, C; Steiner, KG</t>
  </si>
  <si>
    <t>Impacts of possible climate change upon soils; Some regional consequences</t>
  </si>
  <si>
    <t>TOWARDS SUSTAINABLE LAND USE, VOLS I &amp; II: FURTHERING COOPERATION BETWEEN PEOPLE AND INSTITUTIONS</t>
  </si>
  <si>
    <t>ADVANCES IN GEOECOLOGY</t>
  </si>
  <si>
    <t>9th Conference of the International-Soil-Conservation-Organisation</t>
  </si>
  <si>
    <t>AUG, 1996</t>
  </si>
  <si>
    <t>BONN, GERMANY</t>
  </si>
  <si>
    <t>climate change; causes; soil fertility features; major regional threats</t>
  </si>
  <si>
    <t>Impacts of climate change upon soils have not been studied to the same extent as the effects of soil born contributions, such as GH (greenhouse) forcing trace gas emissions to climate change. Quite obvious interrelations exist between continuous functioning of the thermohaline heat transport to N-and W-Europe, that could be interrupted by a temperature rise related glacier melting and termination of the salt Itch heavy deep-water conveyor transport to the Caribbean and Antarctic regions. This would greatly impede the Gulf Stream related temperature rise, and eventually soil and land use productivity. Similarly, the S-Asian soil stability and land use system could suffer from shortening or suppression of the monsoon due to a rise of aerosol concentrations in the atmosphere by vigorous industrial development in S- and SE-Asia. The ENSO (El Nine Southern Oscillations) related climatic extremes contribute to the more catastrophic soil destruction, and to the mainly anthropogenic forced erosion of presently ca 10 million ha per annum. This paper tries to identify and to assess the effects of climate change upon soils of different ecosystems, mainly via its influence upon the carbon and nutrient cycles. Problem areas of major geographic regions of the continents are scanned for expected impacts of climate change upon soils and land use.</t>
  </si>
  <si>
    <t>Univ Hamburg, Inst Bodenkunde, D-20146 Hamburg, Germany</t>
  </si>
  <si>
    <t>Scharpenseel, HW (corresponding author), Univ Hamburg, Inst Bodenkunde, Allendepl 2, D-20146 Hamburg, Germany.</t>
  </si>
  <si>
    <t>CATENA VERLAG</t>
  </si>
  <si>
    <t>REISKIRCHEN</t>
  </si>
  <si>
    <t>ARMELGASSE 11, 35447 REISKIRCHEN, GERMANY</t>
  </si>
  <si>
    <t>3-923381-42-5</t>
  </si>
  <si>
    <t>ADV GEOECOL</t>
  </si>
  <si>
    <t>Environmental Sciences; Geosciences, Multidisciplinary; Soil Science; Water Resources</t>
  </si>
  <si>
    <t>Environmental Sciences &amp; Ecology; Geology; Agriculture; Water Resources</t>
  </si>
  <si>
    <t>BL91R</t>
  </si>
  <si>
    <t>WOS:000077135800032</t>
  </si>
  <si>
    <t>Rene, F; Poisson, F; Tessier, E</t>
  </si>
  <si>
    <t>Cayre, P; LeGall, JY</t>
  </si>
  <si>
    <t>Evolution of the swordfish longline fishery Xiphias gladius operating in the Indian Ocean from Reunion island</t>
  </si>
  <si>
    <t>TUNA PROSPECTS AND STRATEGIES FOR THE INDIAN OCEAN</t>
  </si>
  <si>
    <t>International Tuna Conference</t>
  </si>
  <si>
    <t>NOV 27-29, 1996</t>
  </si>
  <si>
    <t>MAURITIUS</t>
  </si>
  <si>
    <t>maritime fishery; drifting longline; swordfish; Xiphias gladius; Reunion Island; processing; market</t>
  </si>
  <si>
    <t>During the last five years, in marked contrast to the situation experienced by the huge majority of other fishing communities (European Union), the Reunion Fishery has experienced rapid growth and development in all segments (artisanal fishery, Antarctic fishery, longline fishery). The most rapid of these developments is in the longlining sector, which began five years ago, and which will this year, not only equal, but overtake the artisan fishery, at about 1 500 t/year. This fishery is run by nine fishing companies, aligning twenty nine, 1;: to 33 m vessels, 20 of which, were operational in 1996. Its major species production, constituted by, two thirds swordfish and one third tuna, is mainly exported to Europe via Rungis, some as frozen loins, some fresh whole H&amp;G and/or as loins and extra loins. The fishing zone exploited is extremely vast, stretching from The Equator to 35 degrees South; it is mainly centred (80% of the fishing effort) to the SW of Reunion Island in a square of 7.5 degrees. The Cpue, after showing a significant rise from 1992 to 1994, shows a certain decrease for all the fleets vessels from 1994 to 1996. There exist multiple reasons for this decrease but they do not appear to be related to the state of the swordfish supply, in the zone. Today, the development continues at a local scale, COI, through a development of the regional longline fleets, initiated at The Seychelles and soon at Mauritius, due to a technical transfer from Reunion and a development project, financed by the European Union, FED, in the context of a Regional Tuna Programme (PTR2). Today, it enables a progressive appropriation of the Regional ZEE pelagic resources, by the surrounding countries, otherwise exploited only by the longlining fleets from S.-E. Asia. In Reunion, this rapid development has already lead to, and in the next few years, will continue to lead to, profound, structural evolution in the sector, confronted by the accumulated changes of, resource, market and the production and processing units. This most probably necessitates the installation of an operational fisheries plan, destined to manage this development in the consideration of, identified resource potential, in a concern for stability, in so far as the local market is concerned, as the various social elements of the sector. It is imperative that this plan, must be backed up by the oceanic and social-economic research which accompanies this fishery.</t>
  </si>
  <si>
    <t>Ifremer, F-97822 Le Port, Reunion, France</t>
  </si>
  <si>
    <t>Ifremer</t>
  </si>
  <si>
    <t>ifremer@guetali.fr; ifremer@guetali.fr; ifremer@guetali.fr</t>
  </si>
  <si>
    <t>2-7099-1417-4</t>
  </si>
  <si>
    <t>BL69K</t>
  </si>
  <si>
    <t>WOS:000076339900010</t>
  </si>
  <si>
    <t>Webster, J</t>
  </si>
  <si>
    <t>Arehart, GB; Hulston, JR</t>
  </si>
  <si>
    <t>Clean, green and steaming: Environmental geochemistry in New Zealand</t>
  </si>
  <si>
    <t>WATER-ROCK INTERACTION</t>
  </si>
  <si>
    <t>9th International Symposium on Water-Rock Interaction (WRI-9)</t>
  </si>
  <si>
    <t>MAR 30-APR 03, 1998</t>
  </si>
  <si>
    <t>TAUPO, NEW ZEALAND</t>
  </si>
  <si>
    <t>The evolution of environmental geochemistry in New Zealand has been guided by the initiative of individual geochemists, the development and refinement of trace metal analytical techniques and changes made to government science funding and environmental legislation. Landmark research and development in geothermal and Antarctic environmental geochemistry between 1960 and 1990 is reviewed. A trend towards interdisciplinary research and problem prevention rather than cure, has been identified for environmental sciences in general. This is represented in environmental geochemistry by recognition of the role of bacteria in many geochemical processes, and by development of predictive geochemical models.</t>
  </si>
  <si>
    <t>Inst Environm Sci &amp; Res, Auckland, New Zealand</t>
  </si>
  <si>
    <t>Institute of Environmental Science &amp; Research (ESR) - New Zealand</t>
  </si>
  <si>
    <t>Webster, J (corresponding author), Inst Environm Sci &amp; Res, Auckland, New Zealand.</t>
  </si>
  <si>
    <t>90-5410-942-4</t>
  </si>
  <si>
    <t>Environmental Sciences; Geosciences, Multidisciplinary; Water Resources</t>
  </si>
  <si>
    <t>Environmental Sciences &amp; Ecology; Geology; Water Resources</t>
  </si>
  <si>
    <t>BK87J</t>
  </si>
  <si>
    <t>WOS:000073721700007</t>
  </si>
  <si>
    <t>Webster, KS; Webster, JG; Nelson, PE</t>
  </si>
  <si>
    <t>Trace metal microbial interactions in an Antarctic freshwater system</t>
  </si>
  <si>
    <t>The interaction of cyanobacteria with natural and anthropogenic trace metals in and around Lake Vanda has been examined. Lake Vanda is perennially ice-covered and stratified with respect to temperature, salinity, pH and redox potential. Trace metals in the lake can potentially interact with phytoplankton, which exist at discrete horizons controlled by temperature and light requirements. As yet, there is no evidence of trace metal uptake or precipitation in the most prolific cyanobacteria community just above the anoxic zone, where concentrations of dissolved metals are also highest. Analysis of suspended sediment from the anoxic zone however, suggests that nitrate-or sulfate-reducing bacteria may be involved in trace metal precipitation. At the former site of Vanda Station, there are small areas of trace metal-contaminated soils. In microbial mats taken from these and surrounding areas, Cu, Ni and Zn enrichment shows a strong correlation with Fe, suggesting that these metals are bound to Fe-oxide particulate phases in the mat matrix. Pb, Ag and Cd are also enriched in the mat, but show a poor correlation with Fe.</t>
  </si>
  <si>
    <t>Webster, KS (corresponding author), Inst Environm Sci &amp; Res, Auckland, New Zealand.</t>
  </si>
  <si>
    <t>Webster, John G/F-8778-2011</t>
  </si>
  <si>
    <t>WOS:000073721700025</t>
  </si>
  <si>
    <t>Drinkwater, MR; Long, DG</t>
  </si>
  <si>
    <t>ESA; ESA</t>
  </si>
  <si>
    <t>Seasat, ERS-1/2 and NSCAT scatterometer-observed changes on the large ice sheets</t>
  </si>
  <si>
    <t>WORKSHOP ON EMERGING SCATTEROMETER APPLICATIONS - FROM RESEARCH TO OPERATIONS</t>
  </si>
  <si>
    <t>ESA SPECIAL PUBLICATIONS</t>
  </si>
  <si>
    <t>Joint ESA-Eumetsat Workshop on Emerging Scatterometer Applications - From Research to Operations</t>
  </si>
  <si>
    <t>OCT 05-07, 1998</t>
  </si>
  <si>
    <t>NOORDWIJK, NETHERLANDS</t>
  </si>
  <si>
    <t>Satellite-borne wind scatterometers are effective tools for monitoring ice sheets, and microwave imaging techniques enable comparison of historic and contemporary scatterometer data in climate change studies. We document scattering characteristics of the Greenland and Antarctic ice sheets using data from the NSCAT, ERS-1/2 and Seasat SASS instruments. C- and Ku-band data enable characterization of frequency- and incidence-angle dependent scattering characteristics, together with regional and seasonal melting delineation. NSCAT-SASS data differences indicate 18 year changes in microwave backscattering coefficient in response to decadal time-scale changes in the spatial patterns of ice sheet accumulation and ablation.</t>
  </si>
  <si>
    <t>Drinkwater, MR (corresponding author), CALTECH, Jet Prop Lab, 4800 Oak Grove Dr, Pasadena, CA 91109 USA.</t>
  </si>
  <si>
    <t>Long, David G./K-4908-2015; Drinkwater, Mark/C-2478-2011</t>
  </si>
  <si>
    <t>Long, David G./0000-0002-1852-3972; Drinkwater, Mark/0000-0002-9250-3806</t>
  </si>
  <si>
    <t>EUROPEAN SPACE AGENCY</t>
  </si>
  <si>
    <t>8-10 RUE MARIO NIKIS, 75738 PARIS, FRANCE</t>
  </si>
  <si>
    <t>0379-6566</t>
  </si>
  <si>
    <t>92-9092-696-1</t>
  </si>
  <si>
    <t>ESA SP PUBL</t>
  </si>
  <si>
    <t>Engineering, Aerospace; Geosciences, Multidisciplinary; Instruments &amp; Instrumentation; Remote Sensing</t>
  </si>
  <si>
    <t>Engineering; Geology; Instruments &amp; Instrumentation; Remote Sensing</t>
  </si>
  <si>
    <t>BM86M</t>
  </si>
  <si>
    <t>WOS:000079962700015</t>
  </si>
  <si>
    <t>Directional anisotropy of C- and ku-band microwave backscatter from the east Antarctic snow cover: Differences and similarities</t>
  </si>
  <si>
    <t>Young, NW (corresponding author), Antarctic CRC &amp; Australian Antarctic Div, GPO Box 252-80, Hobart, Tas 7001, Australia.</t>
  </si>
  <si>
    <t>WOS:000079962700016</t>
  </si>
  <si>
    <t>Drinkwater, MR; Wadhams, P; Low, D; Liu, X</t>
  </si>
  <si>
    <t>Interannual variability in Weddell Sea ice from ERS wind scatterometer</t>
  </si>
  <si>
    <t>ANTARCTICA</t>
  </si>
  <si>
    <t>ERS-1/2 SAR and Wind Scatterometer data are analyzed together with DMSP SSM/I microwave radiometer data to investigate interannual variability in Weddell Sea ice and summer melt signatures during the period 1992-1997. Simultaneous SAR and Scatterometer images were obtained during a February 1995 cruise of the H.M.S. Endurance and aerial photographs collected for validation of the satellite observations. Accompanying field data are used to illustrate the observed interannual variability, and to validate the first ever field observations of extensive summer melt pending in the Weddell Sea, Antarctica. A preliminary algorithm is designed to detect the occurrence of melting in the Weddell Sea, and the date upon which the surface begins to melt. In contrast to melt, conspicuous, anomalous summer increases in sea-ice backscatter reveal a process unique to Antarctic sea ice, involving surface flooding of perennial ice flees and upward meteoric ice growth. Time series data indicate that flooding is particularly widespread, and that subsequent freeze-up in these regions potentially contributes a significant volume of sea ice to the total mass budget of the Weddell Sea.</t>
  </si>
  <si>
    <t>WOS:000079962700020</t>
  </si>
  <si>
    <t>Young, NW</t>
  </si>
  <si>
    <t>Antarctic iceberg drift and ocean currents derived from scatterometer image series</t>
  </si>
  <si>
    <t>SEA</t>
  </si>
  <si>
    <t>The ERS Wind scatterometer provides frequent measurements of the microwave backscatter of the Antarctic region. From these data a time series of coarse resolution radar images are generated using normalised values of the backscatter. The drift tracks and speed of very large icebergs with horizontal dimensions of tens of kilometres are derived from these images. The area of the largest iceberg detected is about 8000 km(2) and smallest 185 km(2). A combination of drift tracks of several icebergs demonstrates the continuity of the East Wind Drift round the East Antarctic coast. Typical values of drift speed averaged over 20 day intervals for these icebergs in the Antarctic continental slope current are up to 11 cm s(-1), with maximum values of 23 cm s(-1) found between 45 degrees E and 25 degrees W. Drift speeds tend to be greater over the upper break of the continental slope than over the continental shelf or in deeper water. Several icebergs exhibit a retroflection in their tracks indicating a northwards connection between the westward flowing East Wind Drift and the eastward flowing Antarctic Circumpolar Current.</t>
  </si>
  <si>
    <t>Anarctic CRC &amp; Australian Antarctic Div, Hobart, Tas 7001, Australia</t>
  </si>
  <si>
    <t>Young, NW (corresponding author), Anarctic CRC &amp; Australian Antarctic Div, GPO Box 252-80, Hobart, Tas 7001, Australia.</t>
  </si>
  <si>
    <t>WOS:000079962700021</t>
  </si>
  <si>
    <t>Schmidt, JE</t>
  </si>
  <si>
    <t>Antarctic consonants in Lower-Saxon dialects. Study in the synchronous phonology of modern Low-German</t>
  </si>
  <si>
    <t>ZEITSCHRIFT FUR DIALEKTOLOGIE UND LINGUISTIK</t>
  </si>
  <si>
    <t>German</t>
  </si>
  <si>
    <t>FRANZ STEINER VERLAG GMBH</t>
  </si>
  <si>
    <t>STUTTGART 10</t>
  </si>
  <si>
    <t>BIRKENWALDSTRABE 44, D-7000 STUTTGART 10, GERMANY</t>
  </si>
  <si>
    <t>0044-1449</t>
  </si>
  <si>
    <t>Z DIALEKTOL LINGUIST</t>
  </si>
  <si>
    <t>Z. Dialektol. Linguist.</t>
  </si>
  <si>
    <t>Linguistics; Language &amp; Linguistics</t>
  </si>
  <si>
    <t>Linguistics</t>
  </si>
  <si>
    <t>YX833</t>
  </si>
  <si>
    <t>WOS:000072084200020</t>
  </si>
  <si>
    <t>Wu, SM; Hwang, PP; Hew, CL; Wu, JL</t>
  </si>
  <si>
    <t>Effect of antifreeze protein on cold tolerance in juvenile tilapia (Oreochromis mossambicus Peters) and milkfish (Chanos chanos Forsskal)</t>
  </si>
  <si>
    <t>ZOOLOGICAL STUDIES</t>
  </si>
  <si>
    <t>antifreeze protein; cold tolerance; tilapia; milkfish</t>
  </si>
  <si>
    <t>ANTARCTIC FISHES; GLYCOPEPTIDES; COMPENSATION; INHIBITION; TRANSPORT; GOLDFISH; SALMON; TROUT</t>
  </si>
  <si>
    <t>The effects of administration of antifreeze protein (AFP) via anal injection, or by feeding, on the mortalities of juvenile tilapia (Oreochromis mossambicus Peters) and milkfish (Chanos chanos Forsskal) exposed to low temperature were examined. Tilapia juveniles (2.5-3.0 g body weight) were administrated via anal injection 0 (control) or 20 mu g AFP/ g body weight every 2 d for 6 doses, and later were subjected to cold-tolerance test. The mortality of tilapia, 24 h after the transfer from 26 degrees C to 13 degrees C, was 53.3% in the control and 14.3% in the AFP group. Milkfish juveniles (0.9-1.1 g body weight) were given via anal injection 100 mu g AFP/g body weight, 100 mu g BSA/g body weight or saline every 2 d for 6 doses. After injections, milkfish were treated by gradually decreasing tem perature within 4-5 d from 26 degrees C to 16 or 13 degrees C. At the end of the experiment the mortality of milkfish was 66.7%-100% in the controls (BSA and saline groups) and 13.3%-33.3% in the AFP group. In the feeding experiment artificial eel feed was given at a level of 0 (control), 100, or 1000 mu g AFP/g body weight to feed tilapia juveniles (0.01-0.02 g body weight) at a rate of 20% body weight per day for 12 d. The mortality at 24 h after the transfer to 13 degrees C was 60% in the control, 41.9% in the 100 mu g/g AFP group and 3.4% in the 1000 mu g/g AFP group. These results suggest that AFP is able to enhance the tolerance of tilapia and milkfish juveniles to exposure to low temperatures.</t>
  </si>
  <si>
    <t>Acad Sinica, Inst Zool, Taipei 115, Taiwan; Natl Chiayi Inst Technol, Dept Aquaculture, Chiayi 600, Taiwan; Univ Toronto, Dept Clin Biochem, Toronto, ON M5G 1L5, Canada; Univ Toronto, Dept Biochem, Toronto, ON M5G 1L5, Canada</t>
  </si>
  <si>
    <t>Academia Sinica - Taiwan; National Chiayi University; University of Toronto; University of Toronto</t>
  </si>
  <si>
    <t>Hwang, PP (corresponding author), Acad Sinica, Inst Zool, Taipei 115, Taiwan.</t>
  </si>
  <si>
    <t>zophwang@ccvax.sinica.edu.tw</t>
  </si>
  <si>
    <t>Hew, Choy Leong/I-1501-2012; Hwang, Pung-Pung/AEQ-4633-2022; Hwang, Pung-Pung/AAH-1538-2022</t>
  </si>
  <si>
    <t>ACAD SINICA INST ZOOLOGY</t>
  </si>
  <si>
    <t>TAIPEI</t>
  </si>
  <si>
    <t>EDITORIAL OFFICE, TAIPEI 115, TAIWAN</t>
  </si>
  <si>
    <t>1021-5506</t>
  </si>
  <si>
    <t>ZOOL STUD</t>
  </si>
  <si>
    <t>Zool. Stud.</t>
  </si>
  <si>
    <t>ZC018</t>
  </si>
  <si>
    <t>WOS:000072531300006</t>
  </si>
  <si>
    <t>Vaughan, APM; Wareham, CD; Millar, IL</t>
  </si>
  <si>
    <t>Granitoid pluton formation by spreading of continental crust: the Wiley Glacier complex, northwest Palmer Land, Antarctica</t>
  </si>
  <si>
    <t>diapir; adakite; isotope geochemistry; emplacement mechanism; Palmer Land; Gondwana; Pacific</t>
  </si>
  <si>
    <t>PLATE-BOUNDARY ZONE; EMPLACEMENT; EXTENSION; PENINSULA; EVOLUTION; SYSTEMS; ZIRCON; ROCKS; SHEAR; AGES</t>
  </si>
  <si>
    <t>The emplacement mechanism, geometry, and isotope geochemistry of plutons of the Wiley Glacier complex suggest that new continental crust grew by multiple injection of tonalitic dykes during dextral transtension in the Antarctic Peninsula magmatic are in Early Cretaceous times. The suggested mechanism is analogous to basalt dyke injection during sea-floor spreading. During normal-dextral shear, the Bums Bluff pluton, a sheeted, moderately east-dipping, syn-magmatically sheared tonalite-granodiorite intruded syn-magmatically sheared quartz diorite of the Creswick Gap pluton and 140 +/- 5 Ma homblende gabbro. U-Pb dating of zircon and Ar-Ar dating of hornblende and biotite suggest that both granite s.l. plutons were emplaced between 145 and 140 Ma, but that extensional shearing was active from the time of emplacement until ca. lu Ma. The Bums Bluff pluton is chilled at its margin, and grades through mylonitised, porphyritic tonalite-granodiorite sheets and tonalite-granodiorite sheets with minor chilling, to a kilometre-scale body of coarse-grained, hypidiomorphic tonalite-granodiorite Co-magmatic microdiorite forms dykes and abundant synplutonic mafic enclaves. These dykes opened as echelon veins during episodic dextral shear and were deformed to trains of enclaves during continued normal-dextral shear. Pluton-marginal porphyritic and hypidiomorphic tonalite-granodiorite forms large, fault-hosted sheets emplaced progressively under extension with minor dextral shear. Kinematic indicators from pluton-marginal granite s.l. dykes suggest that early in pluton accretion, intrusive sheets cooled rapidly, with simple shear prior to full crystallisation changing to ductile simple shear during cooling. Kinematic indicators towards the pluton core suggest that as the pluton grew, and cooled more slowly, emplacement switched from sheeting to in situ inflation with simple shear distributed across a broad zone prior to full crystallisation of magma. Cross-cutting relationships with the coeval, syn-extensional, Creswick Gap pluton suggest that the Bums Bluff pluton was emplaced in a steeper, second generation shear structure, like those in normal fault systems. This suggests that the Wiley Glacier complex was emplaced above the base of the brittle-ductile transition zone (15-18 km depth). The Bums Bluff pluton has Nd and Sr isotope values that range from mantle dominated (is an element of Nd-141 = +3.8, Sr-87/Sr-86(141) = 0.70468) to more crustally influenced (is an element of Nd-141 = -1.7, Sr-87/Sr-86(141) = 0.70652) This range probably represents different degrees of mixing between mantle-derived magma and lower crustal partial melts generated in the garnet-stability zone (40+ km depth). Addition of new crustal material by mafic underplating at the base of the crust and by redistribution of granitic s.l. and mafic, modified, underplated magma to mid-crustal levels along extensional shear zones as the are 'spread' were the primary mechanisms of crustal growth.</t>
  </si>
  <si>
    <t>British Antarctic Survey, Cambridge CB3 0ET, England; British Geol Survey, NERC, Isotope Geosci Lab, Nottingham NG12 5GG, England</t>
  </si>
  <si>
    <t>UK Research &amp; Innovation (UKRI); Natural Environment Research Council (NERC); NERC British Antarctic Survey; UK Research &amp; Innovation (UKRI); Natural Environment Research Council (NERC); NERC British Geological Survey</t>
  </si>
  <si>
    <t>Vaughan, APM (corresponding author), British Antarctic Survey, High Cross,Madingley Rd, Cambridge CB3 0ET, England.</t>
  </si>
  <si>
    <t>a.vaughan@bas.ac.uk; c.wareham@bas.ac.uk; i.millar@bas.ac.uk</t>
  </si>
  <si>
    <t>Millar, Ian L/F-1541-2010; Vaughan, Alan PM/B-7829-2010</t>
  </si>
  <si>
    <t>DEC 30</t>
  </si>
  <si>
    <t>10.1016/S0040-1951(97)00150-9</t>
  </si>
  <si>
    <t>YT934</t>
  </si>
  <si>
    <t>Green Accepted</t>
  </si>
  <si>
    <t>WOS:000071661200002</t>
  </si>
  <si>
    <t>van den Broeke, MR</t>
  </si>
  <si>
    <t>Spatial and temporal variation of sublimation on Antarctica: Results of a high-resolution general circulation model</t>
  </si>
  <si>
    <t>BLUE-ICE; EASTERN ANTARCTICA; SURFACE-ENERGY; MASS-BALANCE; ADELIE-LAND; MAUD-LAND; CLIMATE; PERFORMANCE; ATMOSPHERE; GREENLAND</t>
  </si>
  <si>
    <t>In this paper we use output of a high-resolution general circulation model (ECHAM3 T106, resolution 1.1 degrees x 1.1 degrees) to study the spatial and temporal variation of sublimation on Antarctica. First, we compare model results with available observations of sublimation rates. The yearly cycle, with small latent heat fluxes during the winter, is well reproduced, and the agreement with sparsely available spot observations is fair. The model results suggest that a significant 10-15% of the annual precipitation over Antarctica is lost through sublimation and that sublimation plays an important role in the formation of blue ice areas. a preliminary analysis of the atmospheric boundary layer moisture budget shows that the spatial variation of sublimation in the coastal zone of East Antarctica can be explained by variations of horizontal advection of dry air. Dry air advection, and thus surface sublimation, is enhanced in areas where katabatic winds are strong and have a large downslope component and where the Antarctic topography drops suddenly from the plateau to the coastal zone. In areas where horizontal advection is small, like the plateau and the large ice shelves, special conditions must be met to make significant sublimation at the surface possible.</t>
  </si>
  <si>
    <t>Norwegian Polar Res Inst, N-0301 Oslo, Norway</t>
  </si>
  <si>
    <t>Norwegian Polar Institute</t>
  </si>
  <si>
    <t>van den Broeke, MR (corresponding author), Norwegian Polar Res Inst, POB 507, N-0301 Oslo, Norway.</t>
  </si>
  <si>
    <t>michiel@npolar.no</t>
  </si>
  <si>
    <t>Van den Broeke, Michiel R./F-7867-2011</t>
  </si>
  <si>
    <t>Van den Broeke, Michiel R./0000-0003-4662-7565</t>
  </si>
  <si>
    <t>DEC 27</t>
  </si>
  <si>
    <t>D25</t>
  </si>
  <si>
    <t>10.1029/97JD01862</t>
  </si>
  <si>
    <t>YP443</t>
  </si>
  <si>
    <t>WOS:000071277300002</t>
  </si>
  <si>
    <t>Rommelaere, V; Arnaud, L; Barnola, JM</t>
  </si>
  <si>
    <t>Reconstructing recent atmospheric trace gas concentrations from polar firn and bubbly ice data by inverse methods</t>
  </si>
  <si>
    <t>AIR; PALEOTHERMOMETRY; CORE</t>
  </si>
  <si>
    <t>We present a method to extract the atmospheric signal of trace gas mixing ratios from firn and bubbly ice measurements. This method, validated using data from Antarctic sites (Vostok and DE08), includes a numerical model that simulates air transport in the firn, and inverse theory. We focus here on atmospheric CH4 reconstruction, but the method can be used to reconstruct recent changes in any trace gas elemental or isotopic composition measured in firn and ice, that has no chemical interaction with solid H2O. This study also provides useful information on the effective diffusity-porosity relationship and quantifies the smoothing effect due to gas diffusion in firn and at pore closure, showing the typical time periods of events that are filtered by the firn and therefore not observed in the gas record of ice cores.</t>
  </si>
  <si>
    <t>Univ Grenoble 1, Lab Glaciol &amp; Geophys Environm, CNRS, 54 Rue Moliere,DU BP 96, F-38402 St Martin Dheres, France.</t>
  </si>
  <si>
    <t>vince@glaciog.ujf-grenoble.fr; arnaud@glaciog.ujf-grenoble.fr; barnola@glaciog.ujf-grenoble.fr</t>
  </si>
  <si>
    <t>arnaud, laurent/0000-0002-4432-4205</t>
  </si>
  <si>
    <t>10.1029/97JD02653</t>
  </si>
  <si>
    <t>WOS:000071277300026</t>
  </si>
  <si>
    <t>van Ommen, TD; Morgan, V</t>
  </si>
  <si>
    <t>Calibrating the ice core paleothermometer using seasonality (vol 102, pg 9351, 1997)</t>
  </si>
  <si>
    <t>van Ommen, TD (corresponding author), Antarctic CRC, GPO Box 252C, Hobart, Tas 7001, Australia.</t>
  </si>
  <si>
    <t>van Ommen, Tas D/B-5020-2012</t>
  </si>
  <si>
    <t>10.1029/97JD02336</t>
  </si>
  <si>
    <t>WOS:000071277300035</t>
  </si>
  <si>
    <t>Delmdahl, RF; Gericke, KH</t>
  </si>
  <si>
    <t>Evidence for the reaction of highly vibrationally excited ClO radicals with nitrogen</t>
  </si>
  <si>
    <t>CHEMICAL PHYSICS LETTERS</t>
  </si>
  <si>
    <t>CHLORINE DIOXIDE; OCLO PHOTODISSOCIATION; OZONE DEPLETION; ANTARCTIC OZONE; OCIO; PHOTOCHEMISTRY; DESTRUCTION; N2O; NM</t>
  </si>
  <si>
    <t>The stratospheric trace gas chlorine dioxide diluted in nitrogen at normal pressure is irradiated with laser light at a wavelength of 308 nm, which corresponds essentially to the (X(2)B(1)0,0,0) --&gt; (A(2)A(2)18,0,0) symmetric stretch progression of OClO. This highly vibrationally excited initial OClO state produces ClO(X-2 Pi(Omega),upsilon,J) radicals containing almost the entire amount of excess energy in their internal degrees of freedom. The ClO fragments resulting from this dissociation process carry sufficient internal energy to exceed the activation energy for the reaction with nitrogen. Accordingly, the reaction ClO(upsilon &gt;&gt; 0) + N-2 --&gt; Cl + N2O could represent an additional source for nitrous oxide and atomic chlorine in the stratosphere. The generation of N2O is experimentally observed in a single-shot laser experiment where the N2O is detected by means of a gas chromatograph. The experimental results indicate that there is in fact a strong evidence for the production of nitrous oxide via the vibrationally mediated reaction of ClO radicals with abundant nitrogen molecules. (C) 1997 Elsevier Science B.V.</t>
  </si>
  <si>
    <t>Tech Univ Braunschweig, Inst Phys &amp; Theoret Chem, D-38106 Braunschweig, Germany</t>
  </si>
  <si>
    <t>Braunschweig University of Technology</t>
  </si>
  <si>
    <t>Delmdahl, RF (corresponding author), Tech Univ Braunschweig, Inst Phys &amp; Theoret Chem, Hans Sommer Str 10, D-38106 Braunschweig, Germany.</t>
  </si>
  <si>
    <t>Delmdahl, Ralph/0000-0002-2020-0654</t>
  </si>
  <si>
    <t>0009-2614</t>
  </si>
  <si>
    <t>CHEM PHYS LETT</t>
  </si>
  <si>
    <t>Chem. Phys. Lett.</t>
  </si>
  <si>
    <t>DEC 26</t>
  </si>
  <si>
    <t>4-6</t>
  </si>
  <si>
    <t>10.1016/S0009-2614(97)01250-5</t>
  </si>
  <si>
    <t>YZ441</t>
  </si>
  <si>
    <t>WOS:000072254400027</t>
  </si>
  <si>
    <t>Hervig, ME; Carslaw, KS; Peter, T; Deshler, T; Gordley, LL; Redaelli, G; Biermann, U; Russell, JM</t>
  </si>
  <si>
    <t>Polar stratospheric clouds due to vapor enhancement: HALOE observations of the Antarctic vortex in 1993</t>
  </si>
  <si>
    <t>OCCULTATION EXPERIMENT; SULFURIC-ACID; OPTICAL-CONSTANTS; OZONE EXPERIMENT; AEROSOL; VALIDATION; GROWTH; H2O; DISTRIBUTIONS; TEMPERATURE</t>
  </si>
  <si>
    <t>Aerosol measurements from the Halogen Occultation Experiment (HALOE) during the Antarctic spring of 1993 are compared with calculations of the volume of different types of polar stratospheric clouds (PSCs) at equilibrium. The observed volumes increased by a factor of similar to 30 coincident with water vapor enhancements of similar to 3 ppmv, suggesting that the enhancement of water vapor was important in determining PSC growth. The enhanced water vapor was coincident with increased methane mixing ratios, and trajectory analysis suggests that the vapor enhancements were consistent with transport from lower latitudes. The nitric acid distribution was not measured and is treated either as constant or as positively correlated with the observed water. Comparing the observed volumes with model calculations assuming constant nitric acid suggests that the PSCs were composed of liquid ternary H2SO4-H2O-HNO3 aerosols (LTA) rather than solid nitric acid trihydrate (NAT). However, if the water vapor intrusions were accompanied by enhanced nitric acid, the observations closely match predictions for solid NAT, and those for LTA. These comparisons highlight the importance of the vapor distributions for modeling PSC growth and suggest that vapor resupply is important for late spring PSC growth. This work also highlights some inherent limitations of large field of view limb-viewing instruments for the observation of PSCs.</t>
  </si>
  <si>
    <t>Univ Wyoming, Dept Atmospher Sci, Laramie, WY 82071 USA; Max Planck Inst Chem, D-55020 Mainz, Germany; GATS Inc, Hampton, VA 23666 USA; Univ Aquila, Dipartimento Fis, I-67100 Laquila, Italy; Hampton Univ, Ctr Atmospher Sci, Hampton, VA 23681 USA</t>
  </si>
  <si>
    <t>University of Wyoming; Max Planck Society; University of L'Aquila; Hampton University</t>
  </si>
  <si>
    <t>Univ Wyoming, Dept Atmospher Sci, POB 3038, Laramie, WY 82071 USA.</t>
  </si>
  <si>
    <t>hervig@trex.uwyo.edu; carslaw@nike.mpch-mainz.mpg.de; larry@gatsibm.larc.nasa.gov; redaelli@axscaq.aquila.infn.it; jmr@hamptonu.edu</t>
  </si>
  <si>
    <t>Carslaw, Ken S/C-8514-2009; Redaelli, Gianluca/GZX-3219-2022; Peter, Thomas/B-2529-2018</t>
  </si>
  <si>
    <t>Carslaw, Ken S/0000-0002-6800-154X; Peter, Thomas/0000-0002-7218-7156; Redaelli, Gianluca/0000-0002-4449-1513</t>
  </si>
  <si>
    <t>DEC 20</t>
  </si>
  <si>
    <t>D23</t>
  </si>
  <si>
    <t>10.1029/97JD02464</t>
  </si>
  <si>
    <t>YN380</t>
  </si>
  <si>
    <t>WOS:000071162700016</t>
  </si>
  <si>
    <t>Tuck, AF; Proffitt, MH</t>
  </si>
  <si>
    <t>Comment on On the magnitude of transport out of the Antarctic polar vortex by Wiel M. F. Wauben et al.</t>
  </si>
  <si>
    <t>STRATOSPHERIC CLOUDS; LATE WINTER; OZONE HOLE; EDGE</t>
  </si>
  <si>
    <t>NOAA, Aeron Lab, Boulder, CO 80303 USA; Univ Colorado, Cooperat Inst Res Environm Sci, Boulder, CO 80302 USA</t>
  </si>
  <si>
    <t>National Oceanic Atmospheric Admin (NOAA) - USA; University of Colorado System; University of Colorado Boulder</t>
  </si>
  <si>
    <t>Tuck, AF (corresponding author), NOAA, Aeron Lab, 325 Broadway,R-E-AL6, Boulder, CO 80303 USA.</t>
  </si>
  <si>
    <t>Tuck, Adrian/F-6024-2011</t>
  </si>
  <si>
    <t>Tuck, Adrian/0000-0002-2074-0538</t>
  </si>
  <si>
    <t>10.1029/97JD02845</t>
  </si>
  <si>
    <t>WOS:000071162700019</t>
  </si>
  <si>
    <t>Wauben, WMF; van Velthoven, PFJ; Kelder, H; Bintanja, R</t>
  </si>
  <si>
    <t>Comment on On the magnitude of transport out of the Antarctic polar vortex by Wiel M. F. Wauben et al - Reply</t>
  </si>
  <si>
    <t>Royal Netherlands Meteorol Inst, NL-3730 AE De Bilt, Netherlands; Univ Utrecht, Inst Marine &amp; Atmospher Res, NL-3584 CC Utrecht, Netherlands</t>
  </si>
  <si>
    <t>Royal Netherlands Meteorological Institute; Utrecht University</t>
  </si>
  <si>
    <t>Royal Netherlands Meteorol Inst, POB 201, NL-3730 AE De Bilt, Netherlands.</t>
  </si>
  <si>
    <t>wauben@knmi.nl</t>
  </si>
  <si>
    <t>10.1029/97JD02846</t>
  </si>
  <si>
    <t>WOS:000071162700020</t>
  </si>
  <si>
    <t>Komhyr, WD; Reinsel, GC; Evans, RD; Quincy, DM; Grass, RD; Leonard, RK</t>
  </si>
  <si>
    <t>Total ozone trends at sixteen NOAA/CMDL and cooperative Dobson spectrophotometer observatories during 1979-1996</t>
  </si>
  <si>
    <t>ANTARCTIC OZONE</t>
  </si>
  <si>
    <t>Ozone trends, derived from 1979-1996 Dobson spectrophotometer total ozone data obtained at five U.S. mainland midlatitude stations, averaged -3.4, -4.9, -2.6, -1.9, and -3.3%/decade for winter, spring, summer, and autumn months, and on an annual basis, respectively. At the lower latitude stations of Mauna Loa and Samoa, corresponding-period annual ozone trends were -0.4 and -1.3%/decade, respectively, while at Huancayo, Peru, the 1979-1991 annual trend was -0.9%/decade. A linear trend approximation to ozone changes that occurred since 1978 during austral daylight times at Amundsen-Scott (South Pole) station, Antarctica, yielded a value of -12%/decade. By combining 1979-1996 annual trend data for three U.S. mainland stations with trends for the sites derived from 1963-1978 data, it is estimated that the ozone decrease at U.S. midlatitudes through 1996, relative to ozone present in the mid-1960s, was -6.7%. Similar analyses incorporating South Pole data obtained since 1963 yielded an ozone change at South Pole (daylight observations) through 1996 of approximately -25%. South Pole October total ozone values in 1996 were lower than mid-1960s October ozone values by a factor of two. Trend data are also presented for several shorter record period stations, including the foreign cooperative stations of Haute Provence, France; Lauder, New Zealand; and Perth, Australia.</t>
  </si>
  <si>
    <t>ENSCI Corp, Boulder, CO 80307 USA; Univ Wisconsin, Madison, WI USA; Univ Colorado, NOAA, Cooperat Inst Res Environm Sci, Boulder, CO 80309 USA; Evolving Syst Inc, Denver, CO USA; NOAA, Climate Monitoring &amp; Diagnost Lab, Boulder, CO 80303 USA</t>
  </si>
  <si>
    <t>University of Wisconsin System; University of Wisconsin Madison; National Oceanic Atmospheric Admin (NOAA) - USA; University of Colorado System; University of Colorado Boulder; National Oceanic Atmospheric Admin (NOAA) - USA</t>
  </si>
  <si>
    <t>Komhyr, WD (corresponding author), ENSCI Corp, POB 3234, Boulder, CO 80307 USA.</t>
  </si>
  <si>
    <t>Evans, Robert/D-4731-2016</t>
  </si>
  <si>
    <t>Evans, Robert/0000-0002-8693-9769</t>
  </si>
  <si>
    <t>DEC 15</t>
  </si>
  <si>
    <t>10.1029/97GL03313</t>
  </si>
  <si>
    <t>YN927</t>
  </si>
  <si>
    <t>WOS:000071222700031</t>
  </si>
  <si>
    <t>Moore, JK; Abbott, MR; Richman, JG</t>
  </si>
  <si>
    <t>Variability in the location of the Antarctic Polar Front (90°-20°W) from satellite sea surface temperature data</t>
  </si>
  <si>
    <t>SOUTHERN-OCEAN; CIRCUMPOLAR CURRENT; DRAKE PASSAGE; TEMPORAL VARIABILITY; CIRCULATION; ALTIMETRY; ATLANTIC; AFRICA</t>
  </si>
  <si>
    <t>The path of the Antarctic Polar Front (PF) is mapped using satellite sea surface temperature data from the NOAA/NASA Pathfinder program. The mean path and variability of the PF are strongly influenced by bathymetry. Meandering intensity is weaker where the bathymetry is steeply sloped and increases in areas where the bottom is relatively flat. There is an inverse relationship between meandering intensity and both the width of the front and the change in temperature across it. There is a persistent, large separation between the surface and subsurface expressions of the PF at Ewing Bank on the Falkland Plateau.</t>
  </si>
  <si>
    <t>Oregon State Univ, Coll Ocean &amp; Atmospher Sci, Corvallis, OR 97331 USA</t>
  </si>
  <si>
    <t>Oregon State University</t>
  </si>
  <si>
    <t>Moore, JK (corresponding author), Oregon State Univ, Coll Ocean &amp; Atmospher Sci, 104 Ocean Adm Bldg, Corvallis, OR 97331 USA.</t>
  </si>
  <si>
    <t>Abbott, Mark R/J-8445-2016</t>
  </si>
  <si>
    <t>C13</t>
  </si>
  <si>
    <t>10.1029/97JC01705</t>
  </si>
  <si>
    <t>YM227</t>
  </si>
  <si>
    <t>WOS:000071042500005</t>
  </si>
  <si>
    <t>Eyles, N; Eyles, CH; Gostin, VA</t>
  </si>
  <si>
    <t>Iceberg rafting and scouring in the Early Permian Shoalhaven Group of New South Wales, Australia: Evidence of Heinrich-like events?</t>
  </si>
  <si>
    <t>PALAEOGEOGRAPHY PALAEOCLIMATOLOGY PALAEOECOLOGY</t>
  </si>
  <si>
    <t>Australia; Lower Permian; ice rafting; icebergs; scour</t>
  </si>
  <si>
    <t>GLACIAL RECORD; CLIMATE-CHANGE; ICE SHEETS; SEDIMENTOLOGY; SEDIMENTATION; BASIN; STRATIGRAPHY; DISCHARGES; DEPOSITS; TASMANIA</t>
  </si>
  <si>
    <t>This paper describes multiple layers of ice-rafted debris and an ice-scour structure in Early Permian marine strata within the Shoalhaven Group of the Sydney Basin, New South Wales, Australia. Strata were deposited on a high-latitude, glacially influenced continental margin during the final stages of Late Palaeozoic glaciation between 277 and 260 Ma. Poorly sorted ice-rafted debris, forming layers up to 1.25 m thick, is common within inner to outer shelf and continental slope facies of the Shoalhaven Group. More than 120 layers can be identified. These are argued to record the enhanced delivery of debris by icebergs drifting north from marine-based Antarctic ice margins. Deformation structures in associated sediments are interpreted as iceberg scours and ice keel turbates. Associated glendonites record early diagenesis of organic-rich sediment and bottom water temperatures close to freezing. A speculative hypothesis relates layers of ice-rafted debris within the Shoalhaven Group to multiple episodes of accelerated calving at the margins of a marine-based Early Permian ice sheet in East Antarctica. These events may be analogous to late Pleistocene Heinrich events, when huge armadas of icebergs were released from the marine-based Laurentide Ice Sheet and triggered abrupt changes in ocean circulation and climate. Similar forcing may have characterized the Early Permian ice-ocean system. Regardless of the climatic significance of ice-rafted layers, this is the first time such facies have been documented in the pre-Pleistocene literature; to date, few ice scour structures, and no ice keel turbates, have been reported. (C) 1997 Elsevier Science B.V.</t>
  </si>
  <si>
    <t>MCMASTER UNIV,DEPT GEOG,HAMILTON,ON L8S 4M1,CANADA; UNIV ADELAIDE,DEPT GEOL,ADELAIDE,SA 5005,AUSTRALIA</t>
  </si>
  <si>
    <t>McMaster University; University of Adelaide</t>
  </si>
  <si>
    <t>Eyles, N (corresponding author), UNIV TORONTO,SCARBOROUGH CAMPUS,SCARBOROUGH,ON M1C 1A4,CANADA.</t>
  </si>
  <si>
    <t>0031-0182</t>
  </si>
  <si>
    <t>PALAEOGEOGR PALAEOCL</t>
  </si>
  <si>
    <t>Paleogeogr. Paleoclimatol. Paleoecol.</t>
  </si>
  <si>
    <t>10.1016/S0031-0182(97)00094-1</t>
  </si>
  <si>
    <t>Geography, Physical; Geosciences, Multidisciplinary; Paleontology</t>
  </si>
  <si>
    <t>Physical Geography; Geology; Paleontology</t>
  </si>
  <si>
    <t>YL241</t>
  </si>
  <si>
    <t>WOS:A1997YL24100001</t>
  </si>
  <si>
    <t>Pettibone, MH</t>
  </si>
  <si>
    <t>Revision of the scaleworm genus Eulagisca McIntosh (Polychaeta: Polynoidae) with the erection of the subfamily Eulagiscinae and the new genus Pareulagisca</t>
  </si>
  <si>
    <t>PROCEEDINGS OF THE BIOLOGICAL SOCIETY OF WASHINGTON</t>
  </si>
  <si>
    <t>A new subfamily of Polynoidae, Eulagiscinae, is established for Eulagisca McIntosh, to include the type species E. corrientis, E. gigantea Monro, E. puschkini Averincev, and two new species, E. uschakovi and E. macnabi, all from the Antarctic and Subantarctic regions, and the new genus Pareulagisca for P. panamensis (Hartman), new combination, from the central Pacific Panama region.</t>
  </si>
  <si>
    <t>Natl Museum Nat Hist, Smithsonian Inst, Dept Invertebrate Zool, Washington, DC 20560 USA</t>
  </si>
  <si>
    <t>Smithsonian Institution; Smithsonian National Museum of Natural History</t>
  </si>
  <si>
    <t>Pettibone, MH (corresponding author), Natl Museum Nat Hist, Smithsonian Inst, Dept Invertebrate Zool, Washington, DC 20560 USA.</t>
  </si>
  <si>
    <t>BIOL SOC WASHINGTON</t>
  </si>
  <si>
    <t>NAT MUSEUM NAT HIST SMITHSONIAN INST, WASHINGTON, DC 20560 USA</t>
  </si>
  <si>
    <t>0006-324X</t>
  </si>
  <si>
    <t>P BIOL SOC WASH</t>
  </si>
  <si>
    <t>Proc. Biol. Soc. Wash.</t>
  </si>
  <si>
    <t>DEC 12</t>
  </si>
  <si>
    <t>YL980</t>
  </si>
  <si>
    <t>WOS:000071014700005</t>
  </si>
  <si>
    <t>Staguhn, J; Stutzki, J; Chamberlin, RA; Balm, SP; Stark, AA; Lane, AP; Schieder, R; Winnewisser, G</t>
  </si>
  <si>
    <t>Observations of [C I] and CO absorption in cold, low-density cloud material toward the Galactic center broad-line emission</t>
  </si>
  <si>
    <t>ASTROPHYSICAL JOURNAL</t>
  </si>
  <si>
    <t>galaxy, abundances; galaxy, center; ISM, atoms; ISM, general; ISM, molecules; radio lines, ISM</t>
  </si>
  <si>
    <t>MOLECULAR CLOUDS; ATOMIC CARBON; DARK CLOUD; SUBMILLIMETER</t>
  </si>
  <si>
    <t>We report the detection of a deep P-3(1) --&gt; P-3(0) (C I) absorption feature at upsilon(LSR) = 12 km s(-1) with a line width of 6 km s(-1) toward extended line emission at a distance of 11' from Sgr C. The 492 GHz observations were made with the Antarctic Submillimeter Telescope and Remote Observatory. The absorption feature allows the derivation of lower limits for the C I column density in the cold foreground material. The feature is unlikely to be caused by self-absorption within the [C I]-emitting cloud because it is observed over a region at least 4' across and is also seen in emission 22' north of the Galactic plane in (CO)-C-12 J = 2-1. In order to determine the temperature and the abundance ratio of C I to CO in the foreground gas, we compare the observations with (CO)-C-12 and (CO)-C-13 J = 1-0 observations obtained with the Bell Labs 7 m antenna and with (CO)-C-12 and (CO)-C-13 J = 2-1 observations made with the Kolner Observatorium fur Submillimeter und Millimeter Astronomie 3 m telescope. All these observations have about the same beam size. On the assumption that the background emission is not spatially associated with the absorbing cloud(s), a consistent model for the observed line intensities yields an excitation temperature of 3.5 K for (CO)-C-13 and 5 K for [C I], which implies low volume densities, n(H-2) less than or similar to 10(3) cm(-3). The measured abundance ratio of C I to (CO)-C-13 is similar to 34. This value is consistent with photochemical model calculations that predict an abundance ratio of C I to (CO)-C-12 of similar to 1 and a (CO)-C-12 to (CO)-C-13 ratio of similar to 30 (reduced in comparison to the intrinsic C-12 to C-13 isotopic ratio of 60 by fractionation). The observed (CO)-C-13 column density corresponds to an A(v) of 4.6 mag, i.e., the hydrogen column density N(H) is similar to 9 x 10(21) Cm-2. This, together with the observed [C I] line width, indicates that the absorption is likely due to several translucent clouds. We compare our results with line fluxes derived from the large-scale, low-resolution COBE FIRAS spectral line survey of [C I] P-3(1) --&gt; P-3(0) and [C I] P-3(2) --&gt; P-3(1) emission in the Galactic plane. Taking into account beam filling, the lower limit for the column density of cold (T-ex less than or equal to 10 K) C I that is traced by our absorption observations is at least a factor of 2 higher than the column density of the warmer C I(T-ex greater than or equal to 20 K) detected in emission by COBE. Our results suggest that a substantial fraction of atomic carbon in the interstellar medium may be difficult to detect in [C I] emission, owing to its low excitation.</t>
  </si>
  <si>
    <t>BOSTON UNIV,DEPT ASTRON,BOSTON,MA 02215; CALTECH,SUBMILLIMETER OBSERV,HILO,HI 96720; HARVARD SMITHSONIAN CTR ASTROPHYS,CAMBRIDGE,MA 02138; UNIV CALIF LOS ANGELES,DEPT PHYS &amp; ASTRON,LOS ANGELES,CA 90095</t>
  </si>
  <si>
    <t>Boston University; California Institute of Technology; Smithsonian Institution; Harvard University; Smithsonian Astrophysical Observatory; University of California System; University of California Los Angeles</t>
  </si>
  <si>
    <t>Staguhn, J (corresponding author), UNIV COLOGNE,INST PHYS 1,ZULPICHER STR 77,D-50937 COLOGNE,GERMANY.</t>
  </si>
  <si>
    <t>Stark, Antony/0000-0002-2718-9996</t>
  </si>
  <si>
    <t>5720 S WOODLAWN AVE, CHICAGO, IL 60637</t>
  </si>
  <si>
    <t>0004-637X</t>
  </si>
  <si>
    <t>ASTROPHYS J</t>
  </si>
  <si>
    <t>Astrophys. J.</t>
  </si>
  <si>
    <t>DEC 10</t>
  </si>
  <si>
    <t>10.1086/304928</t>
  </si>
  <si>
    <t>YL507</t>
  </si>
  <si>
    <t>WOS:A1997YL50700020</t>
  </si>
  <si>
    <t>tenBrink, US; Hackney, RI; Bannister, S; Stern, TA; Makovsky, Y</t>
  </si>
  <si>
    <t>Uplift of the transantarctic mountains and the bedrock beneath the East Antarctic ice sheet</t>
  </si>
  <si>
    <t>SOUTHERN VICTORIA-LAND; ROSS EMBAYMENT; RIFT FLANKS; TECTONIC EVOLUTION; CRUSTAL STRUCTURE; FLEXURAL UPLIFT; PLATE MOTIONS; CONSTRAINTS; LITHOSPHERE; SUBSIDENCE</t>
  </si>
  <si>
    <t>In recent years the Transantarctic Mountains (TAM), the largest noncontractional mountain belt in the world, have become the focus of modelers who explained their uplift by a variety of isostatic and thermal mechanisms. A problem with these models is a lack of available data to compare with model predictions. We report here the results of a 312-km-long geophysical traverse conducted in 1993/1994 in the hinterland of the TAM. Using detailed subglacial topography and gravity measurements, we confirm the origin of the TAM as a flexural uplift of the edge of East Antarctica. Using an elastic model with a free edge, we can jointly fit the topography and the gravity with a plate having an elastic thickness of 85 +/- 15 km and a preuplift elevation of 700 +/- 50 m for East Antarctica. Using a variety of evidence, we argue that the uplift is coincident with a relatively minor tectonic event of transtensional motion between East and West Antarctica during the Eocene rather than the Late Cretaceous rifting event that created the Ross Embayment. We suggest that this transtensional motion caused the continuous plate to break, which created an escarpment that significantly increased the rates of erosion and exhumation. Results from the geophysical traverse also extend our knowledge of the bedrock geology from the exposures within the TAM to the ice covered interior. Our interpretation suggests that the Ferrar flood basalts extend at least 100 km westward under the ice. The Beacon Supergroup of Paleozoic and Mesozoic sediments thins gradually under the ice and its reconstructed thickness is reminiscent of profiles of foreland basins. Finally, there is no indication in the gravity field for an incomplete rebound due to significant melting of the East Antarctic ice sheet since the last glacial period.</t>
  </si>
  <si>
    <t>INST GEOL &amp; NUCL SCI, WELLINGTON, NEW ZEALAND; UNIV WESTERN AUSTRALIA, DEPT GEOL &amp; GEOPHYS, NEDLANDS, WA 6009, AUSTRALIA; STANFORD UNIV, DEPT GEOPHYS, STANFORD, CA 94305 USA; VICTORIA UNIV WELLINGTON, INST GEOPHYS, WELLINGTON, NEW ZEALAND</t>
  </si>
  <si>
    <t>GNS Science - New Zealand; University of Western Australia; Stanford University; Victoria University Wellington</t>
  </si>
  <si>
    <t>tenBrink, US (corresponding author), US GEOL SURVEY, QUISSETT CAMPUS, WOODS HOLE, MA 02543 USA.</t>
  </si>
  <si>
    <t>Hackney, Ron/AAC-8104-2022; Makovsky, Yizhaq/ABH-7281-2020; Bannister, Stephen/B-4038-2008; ten Brink, Uri/A-1258-2008</t>
  </si>
  <si>
    <t>Hackney, Ron/0000-0001-5306-2713; Makovsky, Yizhaq/0000-0001-6762-9549; Stern, Tim/0000-0002-2986-3278; Bannister, Stephen/0000-0002-2125-0506; ten Brink, Uri/0000-0001-6858-3001</t>
  </si>
  <si>
    <t>B12</t>
  </si>
  <si>
    <t>10.1029/97JB02483</t>
  </si>
  <si>
    <t>YL145</t>
  </si>
  <si>
    <t>WOS:A1997YL14500023</t>
  </si>
  <si>
    <t>Thomson, J</t>
  </si>
  <si>
    <t>Antarctic mapping: a bleak future?</t>
  </si>
  <si>
    <t>Thomson, J (corresponding author), British Antarctic Survey, Cambridge CB3 0ET, England.</t>
  </si>
  <si>
    <t>DEC</t>
  </si>
  <si>
    <t>10.1017/S0954102097000461</t>
  </si>
  <si>
    <t>ZR655</t>
  </si>
  <si>
    <t>WOS:000074000500001</t>
  </si>
  <si>
    <t>Arkhipkin, AI; Silvanovich, NV</t>
  </si>
  <si>
    <t>Age, growth and maturation of the squid Martialia hyadesi (Cephalopoda, Ommastrephidae) in the south-west Atlantic</t>
  </si>
  <si>
    <t>circumpolar distribution; growth rates; life cycle; Southern Ocean; statolith</t>
  </si>
  <si>
    <t>POLAR FRONTAL ZONE; INCREMENT ANALYSIS; PATAGONIAN SHELF; STATOLITH; TEUTHOIDEA</t>
  </si>
  <si>
    <t>The statolith microstructure was studied in 142 females (mantle length, ML, ranging from 77-402 mm) and 119 males (72-328 mm ML) of Martialia hyadesi caught on the Patagonian and Falkland shelves and at the Antarctic Polar Frontal Zone between 1989-94. The statolith microstructure dark zone in this species, contains narrower and more numerous growth increments than the dark zones of other ommastrephid squids. Assuming daily production of putative growth increments within statoliths males live up to 12 months, and females live up to 13 months. It is likely that the life cycle lasts c. I yr, but immature squids with ages &gt;330-340 d suggest that a part of M. hyadesi populations could have life span &gt;1 yr. Growth in length was best described by the Gompertz function, whereas growth in weight was best described by the logistic function. M. hyadesi is characterized by slow juvenile growth (&lt;100 mm ML), fast growth of immature squids and a sharp decrease in growth rates during maturation. M. hyadesi mature later (at ages &gt;270 d) than other temperate ommastrephids, but maturation is rather rapid (2-3 months). In the south-west Atlantic, M. hyadesi hatch throughout the year.</t>
  </si>
  <si>
    <t>Atlantic Res Inst Marine Fisheries &amp; Oceanog, Kaliningrad 236000, Russia</t>
  </si>
  <si>
    <t>Research lnstitute of Fisheries &amp; Oceanography</t>
  </si>
  <si>
    <t>Arkhipkin, AI (corresponding author), Atlantic Res Inst Marine Fisheries &amp; Oceanog, 5 Dm Donskoy St, Kaliningrad 236000, Russia.</t>
  </si>
  <si>
    <t>10.1017/S0954102097000473</t>
  </si>
  <si>
    <t>WOS:000074000500002</t>
  </si>
  <si>
    <t>Bernardi, G; Goswami, U</t>
  </si>
  <si>
    <t>Molecular evidence for cryptic species among the Antarctic fish Trematomus bernacchii and Trematomus hansoni</t>
  </si>
  <si>
    <t>cryptic species; mtDNA; Nototheniidae; Trematomus bernacchii; Trematomus hansoni; 16S</t>
  </si>
  <si>
    <t>MITOCHONDRIAL; EVOLUTION; PHYLOGENIES; BOOTSTRAP</t>
  </si>
  <si>
    <t>The notothenid species Trematomus bernacchii has previously been shown, by allozyme analysis, to be a complex of two cryptic species, one of which being more closely related to T. hansoni than to the other T. bernacchii cryptic species. Two T. bernacchii colour morphs, white blotch and brown, at McMurdo Sound, may correspond to these cryptic species. In this study, we present mitochondrial DNA sequences of the 12S and 16S ribosomal regions for six white blotch morphs, eight brown morphs collected in McMurdo Sound, one individual collected off the Antarctic Peninsula, and two T. hansoni individuals from McMurdo Sound. These sequences were compared with those of T. bernacchii and T. hansoni in the literature. Based on 14 phylogenetically informative sequences, no differences were found between white blotch and brown morphs. Furthermore, only one substitution separated these sequences from the previously published T. hansoni sequence, while 10 substitutions separated them from the previously published T. bernacchii sequence. Misidentified specimens, and sequence misreadings may be at the origin of these discrepancies. However, the presence of cryptic species within T. bernacchii and T. hansoni is not ruled out.</t>
  </si>
  <si>
    <t>Univ Calif Santa Cruz, Dept Biol, Santa Cruz, CA 95064 USA; Natl Inst Oceanog, Div Biol Oceanog, Dona Paula 403004, Goa, India</t>
  </si>
  <si>
    <t>University of California System; University of California Santa Cruz; Council of Scientific &amp; Industrial Research (CSIR) - India; CSIR - National Institute of Oceanography (NIO)</t>
  </si>
  <si>
    <t>Bernardi, G (corresponding author), Univ Calif Santa Cruz, Dept Biol, Santa Cruz, CA 95064 USA.</t>
  </si>
  <si>
    <t>Bernardi, Giacomo/F-6346-2011</t>
  </si>
  <si>
    <t>10.1017/S0954102097000485</t>
  </si>
  <si>
    <t>WOS:000074000500003</t>
  </si>
  <si>
    <t>Iken, K; Barrera-Oro, ER; Quartino, ML; Casaux, RJ; Brey, T</t>
  </si>
  <si>
    <t>Grazing by the Antarctic fish Notothenia coriiceps: evidence for selective feeding on macroalgae</t>
  </si>
  <si>
    <t>Antarctic fish; feeding ecology; food selection; macroalgae; Norothenia coriiceps</t>
  </si>
  <si>
    <t>KING-GEORGE-ISLAND; SOUTH SHETLAND ISLANDS; POTTER COVE; PENINSULA</t>
  </si>
  <si>
    <t>In Potter Cove, King George Island, Antarctica, macroalgae provide a significant food resource for herbivores. The demersal fish Notothenia coriiceps feeds on macroalgae. Eighteen algal species were identified in stomach contents: two chlorophytes, ten rhodophytes and six phaeophytes. Among these the rhodophyte Palmaria decipiens, the phaeophyte Desmarestia menziesii and the chlorophyte Monostroma hariotii comprised the greatest proportions of algal biomass. A food selection study showed four algae to be preferred (P. decipiens, M. hariotii, D. menziesii, Iridaea cordata) and two species to be avoided (Desmarestia anceps and Himantothallus grandifolius) by N. coriiceps. The present investigation indicates that this fish feeds not only intentionally, but also selectively, on macroalgae. Preference for particular algal species is not related to associated epifaunal biomass or to associated amphipod biomass.</t>
  </si>
  <si>
    <t>Alfred Wegener Inst Polar &amp; Marine Res, D-27568 Bremerhaven, Germany; Inst Antartico Argentino, RA-1010 Buenos Aires, DF, Argentina</t>
  </si>
  <si>
    <t>Helmholtz Association; Alfred Wegener Institute, Helmholtz Centre for Polar &amp; Marine Research; Instituto Antartico Argentino</t>
  </si>
  <si>
    <t>Iken, K (corresponding author), Alfred Wegener Inst Polar &amp; Marine Res, Postfach 120 161, D-27568 Bremerhaven, Germany.</t>
  </si>
  <si>
    <t>Brey, Thomas/0000-0002-6345-2851</t>
  </si>
  <si>
    <t>10.1017/S0954102097000497</t>
  </si>
  <si>
    <t>WOS:000074000500004</t>
  </si>
  <si>
    <t>McClintock, JB; Karentz, D</t>
  </si>
  <si>
    <t>Mycosporine-like amino acids in 38 species of subtidal marine organisms from McMurdo Sound, Antarctica</t>
  </si>
  <si>
    <t>algae; Antarctica; benthic invertebrate; MAA; marine; ozone; ultraviolet radiation</t>
  </si>
  <si>
    <t>URCHIN STRONGYLOCENTROTUS-DROEBACHIENSIS; ULTRAVIOLET-RADIATION; OZONE DEPLETION; ABSORBING COMPOUNDS; PHYTOPLANKTON; PHAEOCYSTIS; LARVAE; REEF; PHOTOADAPTATION; PROTECTION</t>
  </si>
  <si>
    <t>Mycosporine-like amino acids (MAAs) that absorb UV radiation (310-360 nm) were investigated in 34 species of benthic marine invertebrates (fourteen sponges, two cnidarians, one nemertean, four molluscs, one bryozoan, two arthropods, eight echinoderms and two tunicates), two species of benthic fish and two species of red algae collected during the spring of 1992 from McMurdo Sound. In addition, MAAs were measured in the ripe ovaries, testes and brooded juveniles of four species of echinoderms. While 90% of the species had MAAs in their tissues, both quantitative and qualitative measurements reflected a general lack of UV protectants among these fauna. Eight MAAs were detected among the species examined, but only four of these (mycosporine-glycine, shinorine, porphyra-334 and palythine) occurred in any appreciable number of the species. Palythinol only occurred in the sponge Isodictya erinacea and asterina-330 and palythene only occurred in the red alga Iridaea cordata. MAAs were detected in the ripe ovaries and testes of the sea urchin Sterechinus neumayeri and the ripe ovaries and brooded young of the sea cucumber Cucumaria ferrari. Low levels and abundances of MAAs may reflect a reduced need for UV protectants in marine organisms inhabiting subtidal (&gt;20 m depth) benthic environments that experience seasonal sea-ice cover. Low concentrations of MAAs may also be a function of diet, since the majority of benthic species present in McMurdo Sound are not herbivorous.</t>
  </si>
  <si>
    <t>Univ Alabama, Dept Biol, Birmingham, AL 35294 USA; Univ San Francisco, Dept Biol, San Francisco, CA 94117 USA</t>
  </si>
  <si>
    <t>University of Alabama System; University of Alabama Birmingham; University of San Francisco</t>
  </si>
  <si>
    <t>McClintock, JB (corresponding author), Univ Alabama, Dept Biol, Birmingham, AL 35294 USA.</t>
  </si>
  <si>
    <t>mcclinto@uab.edu</t>
  </si>
  <si>
    <t>10.1017/S0954102097000503</t>
  </si>
  <si>
    <t>WOS:000074000500005</t>
  </si>
  <si>
    <t>Swadling, KM; Gibson, JAE; Ritz, DA; Nichols, PD</t>
  </si>
  <si>
    <t>Horizontal patchiness in sympagic organisms of the Antarctic fast ice</t>
  </si>
  <si>
    <t>chlorophyll; Paralabidocera antarctica; patchiness; sea ice; sympagic biota</t>
  </si>
  <si>
    <t>WEDDELL SEA ANTARCTICA; SPATIAL VARIABILITY; SYOWA STATION; LIFE-CYCLE; PACK ICE; ECOLOGY; COMMUNITY; COPEPODA; SCALES; BIOTA</t>
  </si>
  <si>
    <t>Patchiness in the horizontal distribution of sympagic organisms was studied at an Antarctic coastal site during autumn. A hierarchical sampling design (nested ANOVA) was used to assess variation in the biota on scales from metres to kilometres. Metazoan abundance, chlorophyll concentration and salinity were measured in 54 sea ice cores. The metazoan fauna was dominated by nauplii of the copepod Paralabidocera antarctica (6 x 10(4) to 4 x 10(5) m(-2)). Other copepods present included Stephos longipes, Oncaea curvata, Oithona similis, Ctenocalanus citer, and unidentified harpacticoid copepods. Chlorophyll a concentrations were generally much higher than values recorded at other sites at the same time of the year, reaching a maximum of 78 mg m(-2). Metazoan abundances did not correlate strongly with chlorophyll or salinity. Significant variability in abundance of P. antarctica and O. similis, and chlorophyll concentration occurred at the scale of kilometres, whereas salinity and other metazoan abundances were not significantly variable at any of the scales examined. Considerable variation was evident at scales of less than one metre.</t>
  </si>
  <si>
    <t>Univ Tasmania, Dept Zool, Hobart, Tas 7001, Australia; Australian Antarctic Div, Kingston, Tas 7050, Australia; Univ Tasmania, Antartic CRC, Hobart, Tas 7001, Australia; CSIRO, Div Marine Res, Hobart, Tas 7001, Australia</t>
  </si>
  <si>
    <t>University of Tasmania; Australian Antarctic Division; University of Tasmania; Commonwealth Scientific &amp; Industrial Research Organisation (CSIRO)</t>
  </si>
  <si>
    <t>Swadling, KM (corresponding author), Univ Tasmania, Dept Zool, GPO Box 252-05, Hobart, Tas 7001, Australia.</t>
  </si>
  <si>
    <t>Nichols, Peter D/C-5128-2011</t>
  </si>
  <si>
    <t>10.1017/S0954102097000515</t>
  </si>
  <si>
    <t>WOS:000074000500006</t>
  </si>
  <si>
    <t>Takahashi, M; Iwami, T</t>
  </si>
  <si>
    <t>The summer diet of demersal fish at the South Shetland Islands</t>
  </si>
  <si>
    <t>Antarctic Peninsula; demersal fish; fish diet; krill</t>
  </si>
  <si>
    <t>ANTARCTIC PENINSULA; EUPHAUSIA-SUPERBA; ECOLOGY; KRILL</t>
  </si>
  <si>
    <t>The stomach contents of demersal fish in late January 1982 were analysed. Samples were taken at 100, 300 and 500 m depth south of Elephant Island, Bransfield Strait and north of Livingston Island, and at 800 m to the east of Smith Island. Fifty four taxa of fish belonging to 11 families were collected. The diets of 2101 fish representing 38 taxa were examined. These were classified into three categories, fish feeders, krill feeders and benthos feeders. Fish prey species fed on krill and/or benthos. Krill was a major dietary component for 32 (84.2%) out of 38 taxa. Gobionotothen gibberifrons was distributed at all 10 stations (100-800 m in depth) and its diet comprised krill and benthos. The present findings verify the importance of krill in the Antarctic marine ecosystem and indicate that krill is consumed by benthic fish at greater depths than previously reported.</t>
  </si>
  <si>
    <t>Japan Marine Fishery Resources Res Ctr, Chiyoda Ku, Tokyo 102, Japan; Tokyo Kasei Gakuin Univ, Biol Lab, Tokyo 19402, Japan</t>
  </si>
  <si>
    <t>Takahashi, M (corresponding author), Japan Marine Fishery Resources Res Ctr, Chiyoda Ku, 3-27 Kioi Cho, Tokyo 102, Japan.</t>
  </si>
  <si>
    <t>10.1017/S0954102097000527</t>
  </si>
  <si>
    <t>WOS:000074000500007</t>
  </si>
  <si>
    <t>Van den Brink, NW; De Ruiter-Dijkman, EM</t>
  </si>
  <si>
    <t>Trans-nonachlor, octachlorostyrene, mirex and photomirex in Antarctic seabirds</t>
  </si>
  <si>
    <t>Antarctic seabirds; early warning; monitoring; organochlorine pollutants</t>
  </si>
  <si>
    <t>PESTICIDES; CONGENERS</t>
  </si>
  <si>
    <t>Octachlorostyrene (OCS) and trans-nonachlor (TNC) were detected in cape petrels (Daption capense) of King George Island, which tallies with their presence in samples of gentoo penguins (Pygoscelis papua) of the Falkland Islands. The detection of TNC in a sample of the Antarctic southern fulmar (Fulmarus glacialoides) implies that the Antarctic region has been contaminated by this compound. Mirex and photomirex were also detected in samples of the cape petrels and southern fulmar, as well as in Adelie penguins (Pygoscelis adeliae) from Hop Island. The ratios of the mirex and photomirex concentrations in the truly Antarctic species from different locations are similar, which suggests that these compounds are diffusely distributed over the continent. The detection of organochlorine pollutants in Antarctic seabirds is an indication that these compounds have a global distribution. Screening of subcutaneous fat of Antarctic seabirds for organochlorines provides an excellent indication of the occurrence of organochlorine pollutants in Antarctica, and as such an 'early warning' for the global dispersion of these compounds.</t>
  </si>
  <si>
    <t>DLO, Inst Forestry &amp; Nat Res, NL-6700 AA Wageningen, Netherlands</t>
  </si>
  <si>
    <t>Van den Brink, NW (corresponding author), DLO, Inst Forestry &amp; Nat Res, POB 23, NL-6700 AA Wageningen, Netherlands.</t>
  </si>
  <si>
    <t>van den Brink, Paul J/E-8315-2013</t>
  </si>
  <si>
    <t>van den Brink, Nico/0000-0001-7959-3344</t>
  </si>
  <si>
    <t>WOS:000074000500008</t>
  </si>
  <si>
    <t>Van de Vijver, B; Beyens, L</t>
  </si>
  <si>
    <t>Freshwater diatoms from some islands in the maritime Antarctic region</t>
  </si>
  <si>
    <t>Antarctic Peninsula; diatoms; ecology</t>
  </si>
  <si>
    <t>KING GEORGE ISLAND; SOUTH SHETLAND; HOPE BAY; LAKES; ASSEMBLAGES; ECOLOGY; COMMUNITIES; PENINSULA</t>
  </si>
  <si>
    <t>A total of 69 diatom taxa, belonging to 24 genera were recorded from thirteen freshwater and moss samples collected in the Antarctic Peninsula region. Marine taxa comprised 26%. Cluster analysis revealed three assemblages. The Nitzschia acidoclinata assemblage occurs on wet mosses; the Luticola muticopsis assemblage is found near penguin rookeries whereas the Pinnularia krookii-Pinnularia microstauron var. elongata assemblage occurs on drier places such as dry mosses and drying mud.</t>
  </si>
  <si>
    <t>Univ Antwerp, Rijksuniv Ctr Antwerp, Dept Biol, Sect Arctic Ecol Limnol &amp; Paleobiol, B-2020 Antwerp, Belgium</t>
  </si>
  <si>
    <t>University of Antwerp</t>
  </si>
  <si>
    <t>Van de Vijver, B (corresponding author), Univ Antwerp, Rijksuniv Ctr Antwerp, Dept Biol, Sect Arctic Ecol Limnol &amp; Paleobiol, Groenenborgerlaan 171, B-2020 Antwerp, Belgium.</t>
  </si>
  <si>
    <t>10.1017/S0954102097000540</t>
  </si>
  <si>
    <t>WOS:000074000500009</t>
  </si>
  <si>
    <t>Camerlenghi, A; Crise, A; Pudsey, CJ; Accerboni, E; Laterza, R; Rebesco, M</t>
  </si>
  <si>
    <t>Ten-month observation of the bottom current regime across a sediment drift of the Pacific margin of the Antarctic Peninsula</t>
  </si>
  <si>
    <t>Antarctic Circumpolar Current; Antarctic Peninsula; bottom currents; contourites; sediment drifts</t>
  </si>
  <si>
    <t>CONTINENTAL RISE; GRAIN-SIZE; CIRCUMPOLAR CURRENT; WEDDELL SEA; STRATIGRAPHY; CIRCULATION; TRANSPORT; EROSION; WEST</t>
  </si>
  <si>
    <t>We present two time series of bottom current and temperature collected 8 m above the seabed on either side of a large sediment drift located on the continental rise of the Pacific margin of the Antarctic Peninsula. The mean current speed is comparable (6.2 cm s(-1) and 6.1 cm s(-1) respectively), but the mean direction differs by about 121 degrees. The direction of mean flow follows the bathymetric contour, and the maximum speed never exceeds 20 cm s(-1) (below the typical benthic storm threshold). The potential temperature is remarkably stable (0.11 +/- 0.01 degrees C and 0.13 +/- 0.02 degrees C at the two sites). The cross-covariance indicates a significant peak at 20.2 days lag, slightly longer than the travel time of 18.7 days calculated between the two stations following the isobaths (98.4 km) and thus providing evidence for the topographic control on bottom water flow. The observed bottom water flow is consistent with deposition of Holocene hemipelagic sediments of the 'drift maintenance' stage. Indicators for palaeoceanographic conditions during glacial periods of the 'drift maintenance' stage and the older 'drift growth' stage are at present too scarce to understand fully how the past oceanographic conditions influenced the evolution of the drifts.</t>
  </si>
  <si>
    <t>Osservatorio Geofis Sperimentale, I-34016 Trieste, Italy; British Antarctic Survey, NERC, Cambridge CB3 0ET, England</t>
  </si>
  <si>
    <t>Istituto Nazionale di Oceanografia e di Geofisica Sperimentale; UK Research &amp; Innovation (UKRI); Natural Environment Research Council (NERC); NERC British Antarctic Survey</t>
  </si>
  <si>
    <t>Camerlenghi, A (corresponding author), Osservatorio Geofis Sperimentale, POB 2011, I-34016 Trieste, Italy.</t>
  </si>
  <si>
    <t>Rebesco, Michele/B-7462-2014; Camerlenghi, Angelo/C-8816-2011; Camerlenghi, Angelo/AAG-3852-2019; Camerlenghi, Angelo/O-1593-2013</t>
  </si>
  <si>
    <t>Rebesco, Michele/0000-0002-9492-4081; Camerlenghi, Angelo/0000-0002-8128-9533; Camerlenghi, Angelo/0000-0002-8128-9533; Crise, Alessandro/0000-0002-5183-3921</t>
  </si>
  <si>
    <t>10.1017/S0954102097000552</t>
  </si>
  <si>
    <t>WOS:000074000500010</t>
  </si>
  <si>
    <t>Riley, TR; Crame, JA; Thomson, MRA; Cantrill, DJ</t>
  </si>
  <si>
    <t>Late Jurassic (Kimmeridgian-Tithonian) macrofossil assemblage from Jason Peninsula, Graham Land: evidence for a significant northward extension of the Latady Formation</t>
  </si>
  <si>
    <t>back-arc sedimentation; bennettitaleans; Latady Formation; Late Jurassic; molluscan fauna</t>
  </si>
  <si>
    <t>ANTARCTIC PENINSULA; REGION</t>
  </si>
  <si>
    <t>New exposures of fossiliferous sedimentary rocks at Cape Framnes, Jason Peninsula (65 degrees 57'S, 60 degrees 33'W) are assigned to the Middle-Late Jurassic Latady Formation of the south-eastern Antarctic Peninsula region. A sequence of fine to coarse-grained sandstones of unknown thickness has yielded a molluscan and plant macrofossil assemblage rich in the following elements: perisphinctid ammonites, belemnopseid belemnites, oxytomid, trigoniid and astartid bivalves, and bennettita lean fronds and fructifications. The overwhelming age affinities are with the Kimmeridgian-early Tithonian part of the Latady Formation, as exposed on the Orville and Lassiter coasts. The Cape Framnes sedimentary rocks help to constrain the age of a major sequence of acid volcanic rocks on Jason Peninsula, and show that the Latady Basin was geographically much more extensive than recognized previously. It was the principal depositional centre of Middle-Late Jurassic sedimentation in the Antarctic Peninsula back-are region and in areal extent may have rivalled the essentially Cretaceous Larsen Basin.</t>
  </si>
  <si>
    <t>Riley, TR (corresponding author), British Antarctic Survey, NERC, High Cross,Madingley Rd, Cambridge CB3 0ET, England.</t>
  </si>
  <si>
    <t>Cantrill, David/0000-0002-1185-4015; Riley, Teal/0000-0002-3333-5021</t>
  </si>
  <si>
    <t>10.1017/S0954102097000564</t>
  </si>
  <si>
    <t>WOS:000074000500011</t>
  </si>
  <si>
    <t>del Valle, RA; Lirio, JM; Lusky, JC; Morelli, JR; Nunez, HJ</t>
  </si>
  <si>
    <t>Jurassic trees at Jason Peninsula, Antarctica</t>
  </si>
  <si>
    <t>del Valle, RA (corresponding author), Inst Antartico Argentino, Cerrito 1248, RA-1010 Buenos Aires, DF, Argentina.</t>
  </si>
  <si>
    <t>WOS:000074000500012</t>
  </si>
  <si>
    <t>Wu, XR; Budd, WF; Simmonds, I</t>
  </si>
  <si>
    <t>Sensitivity of the Antarctic sea ice distribution to its advection in a general circulation model</t>
  </si>
  <si>
    <t>advection; dynamics; ice distribution; thermodynamics; sea ice model</t>
  </si>
  <si>
    <t>OCEAN-ATMOSPHERE MODEL; WEDDELL SEA; PACK ICE; TRANSIENT RESPONSES; GRADUAL CHANGES; CLIMATE-CHANGE; CO2; FLUCTUATIONS; MOTION; DRIFT</t>
  </si>
  <si>
    <t>A dynamic-thermodynamic sea ice model is used and coupled with an atmospheric general circulation model to simulate the seasonal cycle of the global sea ice distribution. We have run the coupled system and obtain a creditable seasonal simulation of the Antarctic sea ice. To understand the role of ice advection on the seasonal cycle of Antarctic sea ice in the coupled system, results from the thermodynamic-only (T) sea ice model have been compared with those from the dynamic thermodynamic (DT) sea ice model. The seasonal cycle of sea ice differs between the two models. When ice motion is eliminated sea ice becomes more compact and thinner, and sea ice is more extensive in summer. A number of previous studies have examined the effect of ice dynamics on sea ice simulations with prescribed atmospheric conditions. Here experiments have been performed with a fully coupled atmosphere sea ice system and also using prescribed daily atmospheric forcing and monthly mean atmospheric forcing, to examine the differences of the sensitivity of the ice advection between the coupled and forcing models. Similar differences have been observed between DT and T in the forcing models but the magnitude is smaller than in the fully coupled model, and with monthly mean atmospheric forcing the difference is least. These differences highlight the importance of the inclusion of ice advection when undertaking studies using a fully interactive atmosphere sea ice model, or using prescribed daily/monthly atmospheric conditions to force a sea ice model for the Antarctic.</t>
  </si>
  <si>
    <t>Antarctic CRC, Hobart, Tas 7001, Australia; Australian Antarctic Div, Hobart, Tas 7001, Australia; Univ Melbourne, Sch Earth Sci, Parkville, Vic 3052, Australia</t>
  </si>
  <si>
    <t>Australian Antarctic Division; University of Melbourne</t>
  </si>
  <si>
    <t>Antarctic CRC, GPO Box 252-80, Hobart, Tas 7001, Australia.</t>
  </si>
  <si>
    <t>10.1017/S0954102097000588</t>
  </si>
  <si>
    <t>WOS:000074000500013</t>
  </si>
  <si>
    <t>Defelice, TP; Saxena, VK; Yu, SC</t>
  </si>
  <si>
    <t>On the measurements of cloud condensation nuclei at Palmer Station, Antarctica</t>
  </si>
  <si>
    <t>ATMOSPHERIC ENVIRONMENT</t>
  </si>
  <si>
    <t>cloud condensation nuclei (CCN); Antarctic region; meteorology and CCN</t>
  </si>
  <si>
    <t>N CAROLINA STATE UNIV,DEPT MARINE EARTH &amp; ATMOSPHER SCI,RALEIGH,NC 27695</t>
  </si>
  <si>
    <t>North Carolina State University</t>
  </si>
  <si>
    <t>Defelice, TP (corresponding author), UNIV WISCONSIN,DEPT GEOSCI,ATMOSPHER SCI GRP,3209 N MARYLAND AVE,MILWAUKEE,WI 53211, USA.</t>
  </si>
  <si>
    <t>Yu, Shaocai/F-1394-2014; yu, shaocai/G-7806-2011</t>
  </si>
  <si>
    <t>THE BOULEVARD, LANGFORD LANE, KIDLINGTON, OXFORD, ENGLAND OX5 1GB</t>
  </si>
  <si>
    <t>1352-2310</t>
  </si>
  <si>
    <t>ATMOS ENVIRON</t>
  </si>
  <si>
    <t>Atmos. Environ.</t>
  </si>
  <si>
    <t>10.1016/S1352-2310(97)00250-1</t>
  </si>
  <si>
    <t>XZ760</t>
  </si>
  <si>
    <t>WOS:A1997XZ76000017</t>
  </si>
  <si>
    <t>Adams, N</t>
  </si>
  <si>
    <t>Model prediction performance over the Southern Ocean and coastal region around East Antarctica</t>
  </si>
  <si>
    <t>AUSTRALIAN METEOROLOGICAL MAGAZINE</t>
  </si>
  <si>
    <t>METEOROLOGYS GLOBAL ASSIMILATION; EVOLUTION; BUREAU; SYSTEM</t>
  </si>
  <si>
    <t>The Antarctic Meteorological Centre (AMC) at Casey Station, Antarctica (66.28 degrees S 110.52 degrees E), provides an analysis and prognostic service, over the summer months, to the Australian National Antarctic Research Expeditions (ANARE) and other organisations traversing the Southern Ocean around East Antarctica. Included in the service is a daily mean sea-level pressure (MSLP) prognosis, valid for 1200 UTC on the same day. The two numerical models available to the AMC, upon which the manual products are based, include the Australian Global Assimilation and Prediction system (GASP) (Seaman et al. 1995 and Bourke et al. 1995) and output from the European Centre for Medium-range Weather Forecasts (ECMWF). A comparison of skill scores for the ECMWF MSLP prognosis and the AMC manual prognosis over the summers of 1993/94 and 1994/95 showed that the forecasters were able to produce minor improvements in forecast skill over the numerical guidance. However, a preliminary study of numerical model skill for the period June 1994 to early January 1996, although highlighting a steady improvement in model performance, found there to be relatively poor model skip in the East Antarctic region, with a major source of error appearing to stem from the base analyses used by the models.</t>
  </si>
  <si>
    <t>Bur Meteorol, Antarctic CRC, Melbourne, Vic, Australia; Bur Meteorol, Tasmania &amp; Antarctica Reg Off, Melbourne, Vic, Australia</t>
  </si>
  <si>
    <t>Bureau of Meteorology - Australia; Bureau of Meteorology - Australia</t>
  </si>
  <si>
    <t>Adams, N (corresponding author), Univ Tasmania, Cooperat Res Ctr Antarctic &amp; So Ocean Environm, GPO Box 252-80, Hobart, Tas 7001, Australia.</t>
  </si>
  <si>
    <t>AUSTRALIAN GOVT PUBL SERV</t>
  </si>
  <si>
    <t>CANBERRA</t>
  </si>
  <si>
    <t>PO BOX 84, CANBERRA, 2601, AUSTRALIA</t>
  </si>
  <si>
    <t>0004-9743</t>
  </si>
  <si>
    <t>AUST METEOROL MAG</t>
  </si>
  <si>
    <t>Aust. Meteorol. Mag.</t>
  </si>
  <si>
    <t>YQ505</t>
  </si>
  <si>
    <t>WOS:000071394500005</t>
  </si>
  <si>
    <t>LeScanff, C; Larue, J; Rosnet, E</t>
  </si>
  <si>
    <t>How to measure human adaptation in extreme environments: The case of Antarctic wintering-over</t>
  </si>
  <si>
    <t>INTERNATIONAL BIOMEDICAL EXPEDITION; IBEA</t>
  </si>
  <si>
    <t>Background: Whether wintering-over causes cognitive and sensory impairment and associated adaptation problems is still a subject of debate. Conflicting results reported in the literature may be due to the difference in the experimental tasks. Moreover, interpersonal variability can hide the effects. Hypothesis: Performance on cognitive and psychomotor tasks can be an indicator of adaptation problems. Methods: Subjects were 10 scientists and 6 technicians (both clinically normal) who wintered-over for a year in the Antarctic. A subset of tasks of the AGARD battery of Standardized Tests for Research with Environmental Stressors (SE) was completed eight times during the isolation. To assess adaptation, the adaptability questionnaire (AQ) was completed by the physician before every performance test. Results: SE showed a sensitive period of adaptation at mid-winter and at the end of the isolation, but the performance in the different tasks did not deteriorate exactly at the same time. No systematic relationship between AQ notations and SE performances was noted. However, three subjects showed significant positive correlations: r &gt; 0.8, p &lt; 0.05 (i.e., low adaptation = low performance). Conclusion: Some clinically normal individuals can experience adaptation problems, and SE tasks can be an indicator of these problems when comparisons are done at an individual level.</t>
  </si>
  <si>
    <t>UNIV CAEN, CTR RECH APS, F-14032 CAEN, FRANCE; LAB PSYCHOL APPL, REIMS, FRANCE</t>
  </si>
  <si>
    <t>Universite de Caen Normandie</t>
  </si>
  <si>
    <t>1943-4448</t>
  </si>
  <si>
    <t>YK927</t>
  </si>
  <si>
    <t>WOS:A1997YK92700013</t>
  </si>
  <si>
    <t>Foissner, W</t>
  </si>
  <si>
    <t>Global soil ciliate (Protozoa, ciliophora) diversity: a probability-based approach using large sample collections from Africa, Australia and Antarctica</t>
  </si>
  <si>
    <t>BIODIVERSITY AND CONSERVATION</t>
  </si>
  <si>
    <t>soil protozoa; soil ciliates; global diversity; Africa; Australia; Antarctica</t>
  </si>
  <si>
    <t>SPECIES CONCEPTS; BIODIVERSITY; MICROORGANISMS; NUMBER</t>
  </si>
  <si>
    <t>Large sample collections from Africa (92 samples), Australia (157) and Antarctica (90) were investigated for soil ciliates using the non-flooded Petri dish method, which re-activates the ciliates' resting cysts from air-dried samples. Species were determined from life and by silver impregnation. The African samples were the richest, containing 507 species (240 undescribed, = 47%), followed by the Australian (361 species, 154 = 43% undescribed) and the Antarctic (95 species, 14 = 15% undescribed) samples. The percentage of new species/sample was consistently low, viz. 4-8% on average, indicating that new species were considerably undersampled relative to described ones, very probably due to methodological shortcomings, i.e. usually only cysts of the more euryoecious species could be reactivated. Thus, a probability theory-based statistical approach was applied to the data sets to compensate for the underestimated number of undescribed species. This procedure indicated that, depending on the region, 70-80% of the soil ciliates are still unknown and global soil ciliate diversity amounts to at least 1330-2000 species. Several indicators, especially the constant rate at which new species have been found during a 20-year period of intensive research, suggest that this estimate is conservative.</t>
  </si>
  <si>
    <t>Salzburg Univ, Inst Zool, A-5020 Salzburg, Austria</t>
  </si>
  <si>
    <t>Salzburg University</t>
  </si>
  <si>
    <t>Foissner, W (corresponding author), Salzburg Univ, Inst Zool, Hellbrunnerstr 34, A-5020 Salzburg, Austria.</t>
  </si>
  <si>
    <t>0960-3115</t>
  </si>
  <si>
    <t>BIODIVERS CONSERV</t>
  </si>
  <si>
    <t>Biodivers. Conserv.</t>
  </si>
  <si>
    <t>10.1023/A:1018378822687</t>
  </si>
  <si>
    <t>YL677</t>
  </si>
  <si>
    <t>WOS:000070980400002</t>
  </si>
  <si>
    <t>Stammerjohn, SE; Smith, RC</t>
  </si>
  <si>
    <t>Opposing southern ocean climate patterns as revealed by trends in regional sea ice coverage</t>
  </si>
  <si>
    <t>CLIMATIC CHANGE</t>
  </si>
  <si>
    <t>ATMOSPHERIC CO2; INTERANNUAL VARIABILITY; ANTARCTIC PENINSULA; TRANSIENT RESPONSES; GRADUAL CHANGES; CARBON-DIOXIDE; ANNUAL CYCLE; HEMISPHERE; MICROWAVE; TEMPERATURE</t>
  </si>
  <si>
    <t>The 16.8 year sea ice record (November 1978 to August 1995) derived from satellite passive microwave data shows evidence of contrasting climate patterns in the Southern Ocean as indicated by persistent opposing trends in regional sea ice coverage. Southern Ocean regions adjoining the south Atlantic, south Indian and southwest Pacific Oceans show increasing trends in sea ice coverage, particularly during non-winter months, while regions adjoining the southeast Pacific Ocean show decreasing trends in sea ice coverage, particularly during summer months. The data are compiled from three successive passive microwave sensors from which two separate time-series are analyzed. The first includes the data originally released by the National Snow and Ice Data Center (NSIDC) which have not been significantly adjusted to account for differences in the successive sensors, while the second includes data recently released by NSIDC which have been rigorously adjusted (Cavalieri et al., 1997) to account for differences between sensors. Although the significance of many of the increasing trends detected in the original time-series decrease in the reanalyzed time-series, the overall pattern of contrasting trends remains evident. These trends have important implications for the southern hemisphere heat budget and surface albedo as well as for marine ecosystems associated with various sea ice habitats. Other evidence of contrasting climate patterns with respect to southern hemisphere atmospheric circulation is explored. Due to the relatively short sea ice record, it still remains to be seen whether these trends are natural decadal variation or indicative of global climate change. However, the persistent opposition in Southern Ocean regional ice coverage is noteworthy and may well be studied using global circulation models in order to better define potential positive and negative feedbacks for global change scenarios.</t>
  </si>
  <si>
    <t>Stammerjohn, SE (corresponding author), UNIV CALIF SANTA BARBARA,INST COMPUTAT EARTH SYST SCI,SANTA BARBARA,CA 93106, USA.</t>
  </si>
  <si>
    <t>0165-0009</t>
  </si>
  <si>
    <t>Clim. Change</t>
  </si>
  <si>
    <t>10.1023/A:1005331731034</t>
  </si>
  <si>
    <t>YL624</t>
  </si>
  <si>
    <t>WOS:A1997YL62400003</t>
  </si>
  <si>
    <t>di Prisco, G</t>
  </si>
  <si>
    <t>ESF network fishes of the Antarctic ocean - 2nd workshop relationships linking ecology, life style and adaptive evolution</t>
  </si>
  <si>
    <t>CNR, Inst Prot Biochem &amp; Enzymol, ESF Network, I-80125 Naples, Italy</t>
  </si>
  <si>
    <t>di Prisco, G (corresponding author), CNR, Inst Prot Biochem &amp; Enzymol, ESF Network, Via Marconi 10, I-80125 Naples, Italy.</t>
  </si>
  <si>
    <t>10.1016/S0300-9629(97)86784-9</t>
  </si>
  <si>
    <t>YN802</t>
  </si>
  <si>
    <t>WOS:000071209300007</t>
  </si>
  <si>
    <t>Giardina, B; Gozzo, ML; Zappacosta, B; Colacicco, L; Callà, C; Mordente, A; Lippa, S</t>
  </si>
  <si>
    <t>Coenzyme a homologs and trace elements content of Antarctic fishes Chionodraco hamatus and Pagothenia bernacchii compared with the Mediterranean fish Mugil cephalus</t>
  </si>
  <si>
    <t>Symposium on Comparative Physiology of the L-Arginine-Nitric Oxide Pathway, at the 4th International Congress of Comparative Physiology and Biochemistry</t>
  </si>
  <si>
    <t>oxidative metabolism; coenzyme Q; vitamin E; selenium; zinc; copper; Chionodraco hamatus; Pagothenia bernacchii; Mugil cephalus; reactive oxygen species</t>
  </si>
  <si>
    <t>Coenzyme Q and trace element contents of two antarctic fishes (Pagothenia bernacchii and Chionodraco hamatus) were investigated and compared with that of one temperate marine fish (Mugil cephalus). In particular, muscle and erythrocyte concentrations of coenzyme a, vitamin E, selenium, copper and zinc were determined. Antarctic fishes showed, at the level of their muscles, higher levels of selenium, zinc and copper compared with M. cephalus. In antarctic fishes, in the place of Q(10), the coenzyme a form generally observed in temperate fishes, only the homolog coenzyme Q(9) was found. This particular finding has been related to the difference in the crystallization temperature existing between CoQ(10) and CoQ(9). Moreover, the high levels of zinc and selenium, observed in C. hamatus, correlate very well with a recent report on the presence, in the liver of this fish, of a zinc-binding protein that, in addition, is characterized by an amino acid sequence closely similar to that of a selenium-containing protein isolated from ovine heart. All together, the results indicate, for the antarctic species, a high level of antioxidant defenses with respect to the mediterranean fish and may be considered as a stimulating basis for further studies on the oxidative metabolism of Antarctic organisms. (C) 1997 Elsevier Science Inc.</t>
  </si>
  <si>
    <t>Univ Cattolica Sacro Cuore, Fac Med, Inst Chem &amp; Clin Chem, Rome, Italy; Univ Cattolica Sacro Cuore, Fac Med, Inst Biol Chem, Rome, Italy</t>
  </si>
  <si>
    <t>Catholic University of the Sacred Heart; IRCCS Policlinico Gemelli; Catholic University of the Sacred Heart; IRCCS Policlinico Gemelli</t>
  </si>
  <si>
    <t>Giardina, B (corresponding author), Univ Cattolica Sacro Cuore, Ist Chim &amp; Chim Clin, Fac Med &amp; Chirurg A Gemelli, Largo Francesco Vito 1, I-00168 Rome, Italy.</t>
  </si>
  <si>
    <t>b.giardina@uniserv.ccr.rm.cnr.it</t>
  </si>
  <si>
    <t>Mordente, Alvaro/AAB-7290-2019; Callà, Cinzia Anna Maria/ADD-4507-2022</t>
  </si>
  <si>
    <t>Callà, Cinzia Anna Maria/0000-0001-6548-3005; MORDENTE, Alvaro/0000-0003-3260-9796; COLACICCO, LUIGI/0000-0002-7419-2477</t>
  </si>
  <si>
    <t>10.1016/S0300-9629(97)86785-0</t>
  </si>
  <si>
    <t>WOS:000071209300008</t>
  </si>
  <si>
    <t>Feller, G; Gerday, C</t>
  </si>
  <si>
    <t>Adaptations of the hemoglobinless Antarctic icefish (Channichthyidae) to hypoxia tolerance</t>
  </si>
  <si>
    <t>icefish; Channichthyidae; Notothenioidea; Antarctic; fish physiology; blood; heart metabolism; cardiac bioenergetics</t>
  </si>
  <si>
    <t>FISH CHAENOCEPHALUS-ACERATUS; RESPIRATORY CHARACTERISTICS; CARDIAC-OUTPUT; MUSCLE-FIBERS; HEART; RHINOCERATUS; MYOGLOBIN; LONNBERG; ULTRASTRUCTURE; TEMPERATURE</t>
  </si>
  <si>
    <t>Antarctic fish of the family Channichthyidae, or icefish, represent a unique model for the study of physiological and biochemical responses to chronic hypoxia since the genes coding for hemoglobin and possible myoglobin are not expressed by these teleosts. Channichthyidae have developed outstanding cardio-vascular adaptations to accommodate the lack of these hemic pigments, most of them involving the myocardium. (C) 1997 Elsevier Science Inc.</t>
  </si>
  <si>
    <t>Univ Liege, Inst Chem B6, Biochem Lab, B-4000 Liege, Belgium</t>
  </si>
  <si>
    <t>10.1016/S0300-9629(97)86786-2</t>
  </si>
  <si>
    <t>WOS:000071209300009</t>
  </si>
  <si>
    <t>Acierno, R; Maffia, M; Rollo, M; Storelli, C</t>
  </si>
  <si>
    <t>Buffer capacity in the blood of the hemoglobinless Antarctic fish Chionodraco hamatus</t>
  </si>
  <si>
    <t>Antarctic fish; blood; buffer capacity; carbonic anhydrase; hemoglobinless fish</t>
  </si>
  <si>
    <t>VOLUME</t>
  </si>
  <si>
    <t>Blood acid base homeostasis of the hemoglobinless Antarctic teleost Chionodraco hamatus was analyzed by measuring the titratable buffer capacity (beta) and carbonic anhydrase (CA) activity in blood samples. Results were compared with those obtained in the red-blooded temperate fish Anguilla anguilla. Data show that the titratable flood buffer capacity of icefish, in the range of red-blooded teleost species, was significantly higher than that of A. anguilla. Furthermore, plasma inorganic phosphate and reactive sulfhydryl content was significantly higher in the Antarctic species. No enzymatic activity of CA was detected in blood samples of Antarctic fish, suggesting the absence of a blood CA-isozyme. (C) 1997 Elsevier Science Inc.</t>
  </si>
  <si>
    <t>Univ Lecce, Dipartimento Biol, Lab Fisiol, I-73100 Lecce, Italy</t>
  </si>
  <si>
    <t>University of Salento</t>
  </si>
  <si>
    <t>Univ Lecce, Dipartimento Biol, Lab Fisiol, Via Prov Lecce Monterorti, I-73100 Lecce, Italy.</t>
  </si>
  <si>
    <t>physiol@ingle01.unile.it</t>
  </si>
  <si>
    <t>MAFFIA, MICHELE/AAC-2943-2020</t>
  </si>
  <si>
    <t>10.1016/S0300-9629(97)86787-4</t>
  </si>
  <si>
    <t>WOS:000071209300010</t>
  </si>
  <si>
    <t>Cerra, MC; Canonaco, M; Acierno, R; Tota, B</t>
  </si>
  <si>
    <t>Different binding activities of A- and B-type natriuretic hormones in the heart of two Antarctic teleosts, the red-blooded Trematomus bernacchii and the hemoglobinless Chionodraco hamatus</t>
  </si>
  <si>
    <t>Antarctic notothenioid teleosts; atrial natriuretic peptide; autoradiography; brain natriuretic peptide; Chionodraco hamatus; heart; Trematomus bernacchii; receptors</t>
  </si>
  <si>
    <t>SIGNAL-TRANSDUCTION; ANGUILLA-ANGUILLA; PEPTIDE; ATRIAL; RECEPTORS; EEL; FISH; EXPRESSION; OSMOREGULATION; LONNBERG</t>
  </si>
  <si>
    <t>Different binding activities of I-125-rat atrial natriuretic peptide were evaluated using in vitro quantitative autoradiography in the heart of two antarctic notothenioid teleosts, the red-blooded Trematomus bernacchii and hemoglobinless Chionodraco hamatus. Saturable and specific binding sites for rat atrial natriuretic peptide were found in the atrium, ventricular myocardium, ventricular endocardium and inner and outer layers of the bulbus arteriosus of both fishes. Scatchard analysis of the saturation data showed that the atrium, ventricular endocardium and outer bulbar layer of T. bernacchii were characterized by a single class of high affinity natriuretic peptide binding sites (K-d = 14 +/- 3.2, 9.7 +/- 2.3 and 6.2 +/- 1.3 pM, respectively), whereas the ventricular myocardium and the inner bulbar layer contained elevated numbers of two classes of high and low affinity natriuretic peptide binding sites (1.8 +/- 0.6 &lt; K-d &lt; 209 +/- 66 pM). In contrast, in C. hamatus, both high and low affinity binding sites were detected in all cardiac regions (2.1 +/- 0.7 &lt; K-d &lt; 262 +/- 90 pM) In both fishes, competition experiments in the presence of either unlabeled rat atrial natriuretic peptide or porcine brain natriuretic peptide indicated different displacement capacities. Porcine brain natriuretic peptide, able to bind to natriuretic peptides sites in all the heart regions of both notothenioids, provided a higher displacement capacity with respect to that of rat atrial natriuretic peptide in the atrium of T. bernacchii. (C) Elsevier Science Inc.</t>
  </si>
  <si>
    <t>Staz Zool Anton Dohrn, I-80121 Naples, Italy; Univ Calabria, Dept Cellular Biol, I-87030 Cosenza, Italy; Univ Calabria, Dept Pharmacobiol, I-87030 Cosenza, Italy; Univ Calabria, Dept Ecol, I-87030 Cosenza, Italy; Univ Lecce, Inst Physiol, I-73100 Lecce, Italy</t>
  </si>
  <si>
    <t>Stazione Zoologica Anton Dohrn di Napoli; University of Calabria; University of Calabria; University of Calabria; University of Salento</t>
  </si>
  <si>
    <t>Tota, B (corresponding author), Staz Zool Anton Dohrn, Villa Comunale, I-80121 Naples, Italy.</t>
  </si>
  <si>
    <t>tota@pobox.unical.it</t>
  </si>
  <si>
    <t>Cerra, Maria Carmela/0000-0002-2091-928X</t>
  </si>
  <si>
    <t>10.1016/S0300-9629(97)86788-6</t>
  </si>
  <si>
    <t>WOS:000071209300011</t>
  </si>
  <si>
    <t>Davison, W; Axelsson, M; Nilsson, S; Forster, ME</t>
  </si>
  <si>
    <t>Cardiovascular control in Antarctic Notothenioid fishes</t>
  </si>
  <si>
    <t>Antarctic fish; cardiovascular control; heart; spleen; gills; autonomic innervation; hematocrit</t>
  </si>
  <si>
    <t>BLOOD-PRESSURE CONTROL; PAGOTHENIA-BORCHGREVINKI; CHAENOCEPHALUS-ACERATUS; RAINBOW-TROUT; GADUS-MORHUA; OXYGEN-UPTAKE; TREMATOMUS-BERNACCHII; ONCORHYNCHUS-MYKISS; CARDIAC-OUTPUT; ATLANTIC COD</t>
  </si>
  <si>
    <t>The temperatures in the polar oceans are not only low, but also relatively stable. Blood becomes more viscous at cold temperatures and it is assumed that this increase of viscosity is responsible for a number of adaptations of the cardiovascular system. The Antarctic Nototheniids show large changes in haematocrit compared to other fishes, and this phenomenon may be related to the high viscosity of their blood at low temperatures. Reduction of the haematocrit will reduce the viscosity, and thus diminish cardiac work. Indeed, one group (the icefish, Channichthydae) has disposed of erythrocytes altogether. The cholinergic tonus on the heart is remarkably high under resting conditions-up to 80% in the bottom-dwelling Trematomus bernacchii- and changes in cardiac performance appear to depend chiefly on modulation of this tonus, rather than activity in excitatory (adrenergic) fibres. Sequestering of erythrocytes by the spleen is a major factor in the reduction of haematocrit, and cholinergic autonomic nerves control release of these cells to increase haematocrit during periods of demand. Thus, the studies of the autonomic control of the heart and spleen of the Antarctic fish show that these are unusual among fishes in that both organs appear more or less solely cholinergically controlled. (C) 1997 Elsevier Science Inc.</t>
  </si>
  <si>
    <t>Gothenburg Univ, Dept Zoophysiol, S-41390 Gothenburg, Sweden; Univ Canterbury, Dept Zool, Christchurch 1, New Zealand</t>
  </si>
  <si>
    <t>University of Gothenburg; University of Canterbury</t>
  </si>
  <si>
    <t>Nilsson, S (corresponding author), Gothenburg Univ, Dept Zoophysiol, Medicinaregatan 18, S-41390 Gothenburg, Sweden.</t>
  </si>
  <si>
    <t>s.nilsson@zoofys.gu.se</t>
  </si>
  <si>
    <t>Axelsson, Michael/D-1412-2009</t>
  </si>
  <si>
    <t>10.1016/S0300-9629(97)86789-8</t>
  </si>
  <si>
    <t>WOS:000071209300012</t>
  </si>
  <si>
    <t>Ritchie, PA; Lavoué, S; Lecointre, G</t>
  </si>
  <si>
    <t>Molecular phylogenetics and the evolution of Antarctic Notothenioid fishes</t>
  </si>
  <si>
    <t>adaptation; Antarctic fishes; Bovichtidae; homology; molecular phylogeny; Notothenioidei; phylogeny; 12S mtDNA; 16S mtDNA</t>
  </si>
  <si>
    <t>NUCLEOTIDE-SEQUENCES; DNA; TREES; MITOCHONDRIAL; PERCIFORMES; CONFIDENCE; POLYMERASE; BOOTSTRAP; INFERENCE; PARADIGM</t>
  </si>
  <si>
    <t>The monophyly of the antarctic fish suborder Notothenioidei and the monophyly of its earliest family the Bovichtidae have been investigated with 12S and 16S mitochondrial DNA sequences. New data from Cottoperca, Pseudaphritis, Harpagifer and several outgroups, in addition to available sequences, show that the bovichtids are paraphyletic. Pseudaphritis is the sister group of all the non-bovichtid notothenioids. The same results are found from two independent genetic markers, the nuclear 28S rDNA and the 12S and 16S mitochondrial rDNA. This reliably refutes a previous hypothesis that placed Pseudaphritis as the sister group of all the remaining notothenioids (including Cottoperca and Bovichtus). Bootstrap analyses show that the Notothenioidei are monophyletic (although members of the suborder Trachinoidei have not been surveyed). Subsequent data from hemoglobin composition confirm the present relationships. After discussions between members of the European Science Foundation (ESF) network during its last two meetings, we point out here some fundamental aspects of comparative biology to improve understanding between the physiologist community and phylogeneticists. The most important points are differences in how the concept of homology is used and differences in the consideration of adaptation. When adaptation is evoked or questioned, endless speculations and untestable scenarios are often developed. We strongly advocate the use of phylogenetic trees for testing hypotheses of adaptation (through multiple character mapping). Such a research program in comparative biology has the power to improve knowledge because it can potentially lead to new experiments for testing adaptive hypotheses. (C) 1997 Elsevier Science Inc.</t>
  </si>
  <si>
    <t>Natl Museum Nat Hist, CNRS GDR 1005, Lab Ichtyol, F-75231 Paris 05, France; Natl Museum Nat Hist, CNRS GDR 1005, Serv Commun Systemat Mol Museum, F-75231 Paris 05, France</t>
  </si>
  <si>
    <t>Museum National d'Histoire Naturelle (MNHN); Museum National d'Histoire Naturelle (MNHN)</t>
  </si>
  <si>
    <t>Lecointre, G (corresponding author), Natl Museum Nat Hist, CNRS GDR 1005, Lab Ichtyol, 43 Rue Cuvier, F-75231 Paris 05, France.</t>
  </si>
  <si>
    <t>lecointr@mnhn.fr</t>
  </si>
  <si>
    <t>; Lavoue, Sebastien/H-7118-2012</t>
  </si>
  <si>
    <t>Ritchie, Peter/0000-0002-8351-7931; Lavoue, Sebastien/0000-0003-4798-6666</t>
  </si>
  <si>
    <t>10.1016/S0300-9629(97)86790-4</t>
  </si>
  <si>
    <t>WOS:000071209300013</t>
  </si>
  <si>
    <t>Cocca, E; Ratnayake-Lecamwasam, M; Parker, SK; Camardella, L; Ciaramella, M; di Prisco, G; Detrich, HW</t>
  </si>
  <si>
    <t>Do the hemoglobinless icefishes have globin genes?</t>
  </si>
  <si>
    <t>Antarctic fish; beta-globin gene deletion or divergence; Channichthyidae; cold adaptation; globin genes; hemoglobin; icefish; molecular evolution; Notothenioidei</t>
  </si>
  <si>
    <t>ANTARCTIC TELEOSTS; BLOOD-CELLS; ADAPTATION</t>
  </si>
  <si>
    <t>Among piscine taxa, the Antarctic icefishes (family Channichthyidae) prosper in the absence of erythrocytes and hemoglobin, a unique condition among adult vertebrates. The genomes of three icefish species and four red-blooded notothenioid species were probed using alpha- and beta-globin cDNA from the red-blooded Antarctic fish Notothenia coriiceps. High-stringency hybridization signals with the alpha-globin probe, but none with the beta-globin probe, on genomic DNAs of both hemoglobinless and red-blooded fishes suggest that icefishes retain remnants of alpha-globin genes in their genomes but have lost the gene that encodes for beta-globin, either through deletion or through rapid mutation. Northern blot analysis of major hematopoietic and nonhematopoietic tissues shows that the alpha-globin-related sequences of icefishes are nonexpressed derivatives of the alpha-globin genes of their red-blooded relatives. Mechanisms leading to the hemoglobinless phenotype are discussed in relation with the expression of myoglobin in the Channichthyidae family. (C) 1997 Elsevier Science Inc.</t>
  </si>
  <si>
    <t>CNR, Inst Prot Biochem &amp; Enzymol, I-80125 Naples, Italy; Northeastern Univ, Dept Biol, Boston, MA 02115 USA</t>
  </si>
  <si>
    <t>Consiglio Nazionale delle Ricerche (CNR); Istituto di Biochimica delle Proteine (IBP-CNR); Northeastern University</t>
  </si>
  <si>
    <t>di Prisco, G (corresponding author), CNR, Inst Prot Biochem &amp; Enzymol, Via Marconi 10, I-80125 Naples, Italy.</t>
  </si>
  <si>
    <t>Cocca, Ennio/AAY-3817-2020; Ciaramella, Maria/O-1152-2015</t>
  </si>
  <si>
    <t>Cocca, Ennio/0000-0003-2432-9663; Ciaramella, Maria/0000-0003-1583-1694</t>
  </si>
  <si>
    <t>10.1016/S0300-9629(97)00010-8</t>
  </si>
  <si>
    <t>WOS:000071209300014</t>
  </si>
  <si>
    <t>Ciardiello, MA; Camardella, L; Carratore, V; di Prisco, G</t>
  </si>
  <si>
    <t>Enzymes in Antarctic fish: Glucose-6-phosphate dehydrogenase and glutamate dehydrogenase</t>
  </si>
  <si>
    <t>Antarctic fish; catalysis; Channichthyidae; cold adaptation; enzymes; glucose-6-phosphate dehydrogenase; glutamate dehydrogenase; Nototheniidae</t>
  </si>
  <si>
    <t>COLD ADAPTATION; SEQUENCE; PURIFICATION; TELEOSTS; BLOOD</t>
  </si>
  <si>
    <t>Glucose-6-phosphate dehydrogenase (G6PD) and L-glutamate dehydrogenase (GDH) from Antarctic fish were isolated and characterized. G6PD was purified from the erythrocytes of red-blooded Dissostichus mawsoni and from the colorless blood of the icefish Chionodraco hamatus. Structural and functional characterization showed that the two enzymes do not differ significantly from each other. GDH was purified from the liver of the icefish Chaenocephalus aceratus. As in other fish GDHs, it showed a marked preference for NAD(+). The amino acid sequence of the active-site peptide is virtually identical to that of other fish and vertebrate counterparts. Although the basic structural features of the Antarctic enzymes are similar to those of mesophilic organisms, some catalytic and thermodynamic properties make the Antarctic enzymes more suited to cold-adapted organisms. (C) 1997 Elsevier Science Inc.</t>
  </si>
  <si>
    <t>CNR, Inst Prot Biochem &amp; Enzymol, I-80125 Naples, Italy</t>
  </si>
  <si>
    <t>diprisco@area.ba.cnr.it</t>
  </si>
  <si>
    <t>Ciardiello, Maria Antonietta/AFB-6964-2022</t>
  </si>
  <si>
    <t>Ciardiello, Maria Antonietta/0000-0002-7203-0554</t>
  </si>
  <si>
    <t>10.1016/S0300-9629(97)86791-6</t>
  </si>
  <si>
    <t>WOS:000071209300015</t>
  </si>
  <si>
    <t>Tamburrini, M; D'Avino, R; Carratore, V; Kunzmann, A; di Prisco, G</t>
  </si>
  <si>
    <t>The hemoglobin system of Pleuragramma antarcticum:: Correlation of hematological and biochemical adaptations with life style</t>
  </si>
  <si>
    <t>amino acid sequence; Antarctic fish; ecology; evolution; hematology; hemoglobin; oxygen binding; thermodynamics</t>
  </si>
  <si>
    <t>AMINO-ACID-SEQUENCE; NOTOTHENIA-CORIICEPS-NEGLECTA; TROUT SALMO-IRIDEUS; AETHOTAXIS-MITOPTERYX DEWITT; OXYGEN-BINDING PROPERTIES; ALPHA-CHAIN; SINGLE HEMOGLOBIN; BETA-CHAIN; FISH; TELEOST</t>
  </si>
  <si>
    <t>The hematological properties and the oxygen-transport system of the antarctic fish Pleuragramma antarcticum were investigated. Most blood parameters are at the lower end of the range of values known for red-blooded antarctic fish, suggesting a link with the sluggish mode of life of this species. P. antarcticum is the only species of the family Nototheniidae and of the suborder Notothenioidei having three major hemoglobins, which were isolated and fully characterized. The complete amino acid sequence of the alpha- and beta-globin chains was determined. The three hemoglobins showed strong Bohr and Root effects, and their oxygen-binding properties were differently regulated by temperature. None of the three hemoglobins of P. antarcticum can be considered as evolutionary (or larval) remnants. Therefore, this oxygen-transport system is one of the most specialized ever found in fish. The data suggest a strong relationship between hematological/biochemical adaptation and life style. (C) 1997 Elsevier Science Inc.</t>
  </si>
  <si>
    <t>CNR, Inst Prot Biochem &amp; Enzymol, I-80125 Naples, Italy; Inst Polar Ecol, D-24148 Kiel, Germany</t>
  </si>
  <si>
    <t>Kunzmann, Andreas/O-1345-2013; Kunzmann, Andreas/O-5459-2019</t>
  </si>
  <si>
    <t>Kunzmann, Andreas/0000-0002-9500-4332; Kunzmann, Andreas/0000-0002-9500-4332; TAMBURRINI, MAURIZIO/0000-0001-5987-0957</t>
  </si>
  <si>
    <t>10.1016/S0300-9629(97)86792-8</t>
  </si>
  <si>
    <t>WOS:000071209300016</t>
  </si>
  <si>
    <t>D'Avino, R; di Prisco, G</t>
  </si>
  <si>
    <t>The hemoglobin system of Antarctic and non-Antarctic Notothenioid fishes</t>
  </si>
  <si>
    <t>Antarctic fish; amino acid sequence identity; Bovichtidae; cold adaptation; hemoglobin; Nototheniidae; Notothenioidei; phyletic divergence</t>
  </si>
  <si>
    <t>OXYGEN-BINDING PROPERTIES; SINGLE HEMOGLOBIN; EVOLUTION; PISCES</t>
  </si>
  <si>
    <t>Studies of the hemoglobin system of fish of the suborder Notothenioidei have been extended to non-Antarctic species Pseudaphritis urvillii and Notothenia angustata. The two species belong to families that were the first to diverge within the suborder. The degree of amino acid sequence identity with Antarctic notothenioids and other non-antarctic fish species is analyzed with respect to phyletic and ecological divergence. (C) 1997 Elsevier Science Inc.</t>
  </si>
  <si>
    <t>10.1016/S0300-9629(97)86793-X</t>
  </si>
  <si>
    <t>WOS:000071209300017</t>
  </si>
  <si>
    <t>Macdonald, JA</t>
  </si>
  <si>
    <t>Intrinsic rates of heartbeat in Antarctic fishes: Is an icefish different?</t>
  </si>
  <si>
    <t>Antarctic; Chionodraco; fish; heart rate; icefish; Pagothenia; temperature; Trematomus</t>
  </si>
  <si>
    <t>THERMALLY ACCLIMATED GOLDFISH; CHIONODRACO-HAMATUS LONNBERG; PLAICE PLEURONECTES-PLATESSA; PERCH PERCA-FLUVIATILIS; HEMOGLOBIN-FREE FISH; CARDIAC-PERFORMANCE; CARDIOVASCULAR-RESPONSES; HEMITRIPTERUS-AMERICANUS; CHAENOCEPHALUS-ACERATUS; DIFFERENT TEMPERATURES</t>
  </si>
  <si>
    <t>Between 1992 and 1994, temperature effects on cardiac pacemakers of three notothenioid fish species were investigated at Scott Base and Terra Nova Bay Station, Antarctica by recording electrical activity from isolated atria. Spontaneous rhythmic electrical activity correlated closely with visible contractions of the atrium. For the icefish Chionodraco hamatus, a mean rate of 15.2 +/- 0.69 beats per minute (B/min) was recorded at 0 degrees C, which agreed well with a mean pressure pulse frequency of 15.3 +/- 0.42 B/min determined in vivo with a caudal arterial cannula. At the same temperature, slightly higher intrinsic rates of 23.5 +/- 0.42 and 24.26 +/- 0.88 B/min were measured in the red-blooded nototheniids Trematomus bernacchii and Pagothenia borchgrevinki, respectively. A bimodal distribution of rates was apparent in deteriorating preparations and fatigued low-frequency subpopulations were eliminated from further analysis. Linear regression confirmed that the atrial pacemaker is slower in C. hamatus but that temperature coefficients are similar for all 3 species: C. hamatus, f(H) = 16.39 +/- 2.89 T; T. bernacchii, f(H) = 24.55 + 2.69 T; P. borchgrevinki, f(H) = 24.78 + 3.25 T, where f(H) = heart rate, B/min and T = temperature, degrees C. The results appear to have predictive value for other antarctic fishes. (C) 1997 Elsevier Science Inc.</t>
  </si>
  <si>
    <t>Univ Auckland, Sch Biol Sci, Expt Biol Res Grp, Auckland, New Zealand; Antarctic Physiol Unit, Auckland, New Zealand</t>
  </si>
  <si>
    <t>University of Auckland</t>
  </si>
  <si>
    <t>Macdonald, JA (corresponding author), Univ Auckland, Sch Biol Sci, Expt Biol Res Grp, Private Bag 92019, Auckland, New Zealand.</t>
  </si>
  <si>
    <t>ja.macdonald@auckland.ac.nz</t>
  </si>
  <si>
    <t>10.1016/S0300-9629(97)86794-1</t>
  </si>
  <si>
    <t>WOS:000071209300018</t>
  </si>
  <si>
    <t>Kock, KH; Everson, I</t>
  </si>
  <si>
    <t>Biology and ecology of mackerel icefish, Champsocephalus gunnari:: An Antarctic fish lacking hemoglobin</t>
  </si>
  <si>
    <t>Antarctic fish; population status; reproduction; age and growth; natural mortality</t>
  </si>
  <si>
    <t>SEALS ARCTOCEPHALUS-GAZELLA; SOUTH-GEORGIA; WINTER FLOUNDER; PSEUDOPLEURONECTES-AMERICANUS; DIET; STATE; REPRODUCTION; STOCKS; OCEAN</t>
  </si>
  <si>
    <t>The mackerel icefish (Chamesocephalus gunnari) is a prominent member of the coastal fish fauna of the Seasonal Pack-Ice Zone and the islands north of it. Separated into a number of stocks, its distribution ranges from the Scotia Are region, namely South Georgia, in the Atlantic Ocean sector to the Kerguelen-Heard Plateau in the Indian Ocean sector. Mackerel icefish have been heavily exploited since the beginning of the 1970s with reported annual catches exceeding 50-100,000 tonnes in some years. C. gunnari has many characteristics typical of Antarctic fish species with respect to life history characteristics, such as egg size, fecundity and growth. These fall well within the range of other sympatric red-blooded notothenioids; eggs are large and yolky. Egg diameter, egg production per gram body weight and growth performance at South Georgia and the Kerguelen Islands was comparable with similar-sized nototheniids and channichthyids. Stocks of C. gunnari have a number of biological characteristics in common, such as feeding mode and food, early life history and growth in the first years of life. However, stocks in sub-Antarctic waters differ in reproductive characteristics, such as length and age at first spawning, natural mortality and life expectancy from those on more southerly grounds. They may grow to more than 60 cm and may become 13-15 yrs old. However, in the vicinity of South Georgia and the Kerguelen Islands, fish apparently do not exhaust this growth potential fully. Their ability to reproduce at an early age coupled with a comparatively high fecundity and growth performance may mean stocks of C. gunnari in sub-antarctic waters have far more resilience and a greater capacity to rebuild than species with the slower reproductive rates common in other notothenioids. (C) 1997 Elsevier Science Inc.</t>
  </si>
  <si>
    <t>Bundesforschungsanstalt Fischerei, Inst Seefischerei, D-22767 Hamburg, Germany; British Antarctic Survey, Cambridge CB3 0ET, England</t>
  </si>
  <si>
    <t>Bundesforschungsanstalt Fischerei, Inst Seefischerei, Palmaille 9, D-22767 Hamburg, Germany.</t>
  </si>
  <si>
    <t>bfa_fisch100565.1223@compuserve.com</t>
  </si>
  <si>
    <t>10.1016/S0300-9629(97)86795-3</t>
  </si>
  <si>
    <t>WOS:000071209300019</t>
  </si>
  <si>
    <t>Masini, MA; Sturla, M; Uva, BM</t>
  </si>
  <si>
    <t>Vasoactive peptides in the heart of Champsocephalus gunnari</t>
  </si>
  <si>
    <t>angiotensin II; Antarctic teleosts; atrial natriuretic peptide; bradykinin; endothelin; immunohistochemistry; vasoactive peptides; Western blot analysis</t>
  </si>
  <si>
    <t>ATRIAL-NATRIURETIC-PEPTIDE; FISH CHAENOCEPHALUS-ACERATUS; HEMOGLOBIN-FREE FISH; CHANNICHTHYS-RHINOCERATUS; ANTARCTIC FISHES; ENDOTHELIN; ANGIOTENSIN; RESPONSES; IMMUNOHISTOCHEMISTRY; TEMPERATURE</t>
  </si>
  <si>
    <t>The presence of vasoactive peptides known to control cardiovascular functions in mammals and sub-mammalian vertebrates was investigated in the sub-Antarctic icefish Chamesocephalus gunnari. Western immune blotting was used to demonstrate immunoreactive atrial natriuretic peptide (ANP), angiotensin II (Ang II), bradykinin (BK) and endothelin-1 (ET-1) in heart homogenates. Immunohistochemistry was used to investigate the distribution of ANP, Ang II, BK and ET-I in the cardiocytes of the three chambers of the heart (atrium, ventricle and the very short conus arteriosus). (C) 1997 Elsevier Science Inc.</t>
  </si>
  <si>
    <t>Univ Genoa, Inst Comparat Anat, I-16132 Genoa, Italy</t>
  </si>
  <si>
    <t>University of Genoa</t>
  </si>
  <si>
    <t>Univ Genoa, Inst Comparat Anat, 5 Viale Benedetto XV, I-16132 Genoa, Italy.</t>
  </si>
  <si>
    <t>anaco@igecuniv.cisi.unige.it</t>
  </si>
  <si>
    <t>10.1016/S0300-9629(97)00018-2</t>
  </si>
  <si>
    <t>WOS:000071209300021</t>
  </si>
  <si>
    <t>Pisano, E; Ozouf-Costaz, C; Bonillo, C; Caimo, A; Rossetti, S; Williams, R</t>
  </si>
  <si>
    <t>Cytogenetics of the Antarctic icefish Champsocephalus gunnari Lonnberg, 1905 (Channichthyidae, Notothenioidei)</t>
  </si>
  <si>
    <t>Antarctic fishes; Channichthyidae; chromosomes; cytogenetics; evolution; phylogeny; molecular cytogenetics</t>
  </si>
  <si>
    <t>SEX-CHROMOSOME SYSTEM; FISHES; PERCIFORMES; PISCES; DIFFERENTIATION; MITOCHONDRIAL; EVOLUTION; POECILIA</t>
  </si>
  <si>
    <t>Traditional karyotyping and molecular cytogenetic techniques were used to study the chromosomes of Champsocephalus gunnari from the Indian Sector of the Antarctic Ocean. C. gunnari has 24 pairs of chromosomes, giving a diploid number of 48. Most are acrocentric, six are metacentric and submetacentric and the level of divergence from the supposed ancestral notothenioid karyotype remains low. The chromosomal features of this icefish do not differ very much from those of the other channichthyids, the karyotypic macrostructure being kept stable in these fishes. Although providing relevant basic biological information, traditional cytogenetics do not allow a significant comparative analysis between species in this notothenioid family. Molecular cytogenetic techniques such as in situ hybridization have been successfully used on C. gunnari, opening new opportunities for a deeper characterization of Antarctic fish chromosomes. The in situ location of specific DNA sequences could provide valuable new information for phylogenetic reconstruction, and shed light on the relationship between chromosome change and the evolutionary process. (C) 1997 Elsevier Science Inc.</t>
  </si>
  <si>
    <t>Univ Genoa, Inst Comparat Anat, I-16132 Genoa, Italy; Museum Natl Hist Nat, Lab Ichtyol, F-75231 Paris 05, France; Osped San Martino Genova, Lab Citogenet, Genoa, Italy; Australian Antarctic Div, Kingston, Tas, Australia</t>
  </si>
  <si>
    <t>University of Genoa; Museum National d'Histoire Naturelle (MNHN); University of Genoa; IRCCS AOU San Martino IST; Australian Antarctic Division</t>
  </si>
  <si>
    <t>Pisano, E (corresponding author), Univ Genoa, Inst Comparat Anat, Viale Benedetto XV,5, I-16132 Genoa, Italy.</t>
  </si>
  <si>
    <t>pisano@unige.it</t>
  </si>
  <si>
    <t>10.1016/S0300-9629(97)86797-7</t>
  </si>
  <si>
    <t>WOS:000071209300022</t>
  </si>
  <si>
    <t>Eastman, JT</t>
  </si>
  <si>
    <t>Phyletic divergence and specialization for pelagic life in the Antarctic nototheniid fish Pleuragramma antarcticum</t>
  </si>
  <si>
    <t>Antarctic; convergent evolution; heterochrony; Nototheniidae; paedomorphosis; pelagic; Pleuragramma antarcticum</t>
  </si>
  <si>
    <t>ANTIFREEZE GLYCOPEPTIDES; WEDDELL-SEA; EVOLUTION; MITOCHONDRIAL; PERCIFORMES; MORPHOLOGY; PHYLOGENY</t>
  </si>
  <si>
    <t>Living free of the substrate and possessing distinctive morphology, Pleuragramma antarcticum is an atypical nototheniid. Cladistic analyses indicate that Pleuragramma is one of the most phyletically derived species in the family. It is also distinctive in a number of features of its biology. I comment on phylogenetic and developmental aspects of these morphological and physiological features in Pleuragramma: skeleton and notochord, extent of red muscle, lipid storage, blood, retina, lateral line, brain and gastrointestinal system. An entire suite of characters is unique to Pleuragramma, but individual features are convergent within other nototheniid clades living in the water column. Osteology provides the best documented evidence that paedomorphosis has been important in the evolution of Pleuragramma. (C) 1997 Elsevier Science Inc.</t>
  </si>
  <si>
    <t>Ohio Univ, Dept Biol Sci, Athens, OH 45701 USA; Ohio Univ, Coll Osteopath Med, Athens, OH 45701 USA</t>
  </si>
  <si>
    <t>University System of Ohio; Ohio University; University System of Ohio; Ohio University</t>
  </si>
  <si>
    <t>Eastman, JT (corresponding author), Ohio Univ, Dept Biol Sci, Athens, OH 45701 USA.</t>
  </si>
  <si>
    <t>eastman@ouvaxa.cats.ohiou.edu</t>
  </si>
  <si>
    <t>Eastman, Joseph T./O-6150-2019; Eastman, Joseph T/A-9786-2008</t>
  </si>
  <si>
    <t>Eastman, Joseph T./0000-0003-3868-261X;</t>
  </si>
  <si>
    <t>10.1016/S0300-9629(97)86798-9</t>
  </si>
  <si>
    <t>WOS:000071209300023</t>
  </si>
  <si>
    <t>Agnisola, C; Acierno, R; Calvo, J; Farina, F; Tota, B</t>
  </si>
  <si>
    <t>In vitro cardiac performance in the sub-antarctic notothenioids Eleginops maclovinus (subfamily eleginopinae), Paranotothenia magellanica, and Patagonotothen tessellata (subfamily nototheniinae)</t>
  </si>
  <si>
    <t>heart function; Notothenioids; oxygen consumption; pressure loading; Starling response; sub-Antarctic fish</t>
  </si>
  <si>
    <t>STRESS-RESPONSE; HEART VENTRICLE; BEAGLE-CHANNEL; FISH HEART; RICHARDSON; MORPHOLOGY; TELEOSTS; BORCHGREVINKI; TEMPERATURE; ARGENTINA</t>
  </si>
  <si>
    <t>There is lack of information concerning species diversification in the Non-Antarctic Nototheniid fish both in relation with their variation in organismal performance and in the morphofunctional characteristics underlying this variation. This work was designed to study in three Sub-Antarctic Nototheniids, Eleginops maclovinus, Patagonotothen tessellata, and Paranotothenia magellanica, cardiocirculatory features that may reflect interspecific differences in organismal performance, which in rum may explain aspects of evolutionary and ecological diversity. Haematocrit values were similar in all three species (between 28 and 3?), being in the range of that observed in other red-blooded Notothenioids. In all species, the heart ventricle was fully trabeculated (Type I ventricle) with P. tessellata and P. magellanica having higher relative ventricle weights than E. maclovinus. The latter species was characterized by unique spindle-shaped ventricle, apparently caused by the insertion of a pair of respiratory muscles on either side of the pericardial cavity. Intrinsic cardiac performance was assessed using an in vitro isolated and perfused heart preparation working under loading conditions. Common trends in the three species were a) the intrinsic heart rate higher than that shown by the Antarctic counterparts, b) stroke volume positively related to preload and inversely to afterload, c) pressure work exhibiting higher cost (in terms of oxygen consumption) than volume work, and d) higher mechanical efficiency under volume loading than under pressure loading. There were clearly defined interspecific differences in cardiac mechanical performance between the two Nototheniinae and E. maclovinus. The heart of the latter differed from those of the Nototheniinae, particularly in its incapacity to maintain constant stroke volume and cardiac output under pressure loading. This finding may be relevant for evaluating organismal performance in light of Notothenioid diversification. (C) 1997 Elsevier Science Inc.</t>
  </si>
  <si>
    <t>Staz Zool Anton Dohrn, I-80121 Naples, Italy; Univ Naples Federico 2, Dipartimento Fisiol Gen &amp; Ambientale, I-80134 Naples, Italy; Univ Lecce, Dipartimento Biol, I-73100 Lecce, Italy; Consejo Nacl Invest Cient &amp; Tecn, Ctr Austral Invest Cientif, RA-9410 Ushuaia, Tierra Del Fueg, Argentina; Univ Palermo, Dipartimento Discipline Anat &amp; Chirurg, I-90127 Palermo, Italy; Univ Calabria, Dipartimento Biol Cellulare, I-87030 Arcavacata Di Rende, CS, Italy</t>
  </si>
  <si>
    <t>Stazione Zoologica Anton Dohrn di Napoli; University of Naples Federico II; University of Salento; Consejo Nacional de Investigaciones Cientificas y Tecnicas (CONICET); University of Palermo; University of Calabria</t>
  </si>
  <si>
    <t>Tota, B (corresponding author), Staz Zool Anton Dohrn, Vialla Comunale, I-80121 Naples, Italy.</t>
  </si>
  <si>
    <t>AGNISOLA, Claudio/0000-0003-1382-3498</t>
  </si>
  <si>
    <t>10.1016/S0300-9629(97)00044-3</t>
  </si>
  <si>
    <t>WOS:000071209300065</t>
  </si>
  <si>
    <t>Luciani, V</t>
  </si>
  <si>
    <t>Planktonic foraminiferal turnover across the Cretaceous-Tertiary boundary in the Vajont valley (Southern Alps, northern Italy)</t>
  </si>
  <si>
    <t>planktonic foraminifera; Cretaceous-Tertiary boundary; biostratigraphy; Southern Alps; northern Italy</t>
  </si>
  <si>
    <t>GLOBAL IMPLICATIONS; MASS EXTINCTIONS; ANTARCTIC OCEAN; HIGH-LATITUDES; IMPACT; EVENT; BIOSTRATIGRAPHY; SURVIVORSHIP; PALEOECOLOGY; TRANSITION</t>
  </si>
  <si>
    <t>Planktonic foraminiferal analysis of the Erto section in the Vajont valley (Southern Alps, northern Italy) reveals a relatively complete succession across the Cretaceous-Tertiary (K-T) boundary. The turnover of planktonic foraminiferal fauna was studied for a stratigraphic interval spanning the Abathomphalus mayaroensis Zone p. p., Pseudotextularia deformis Zone, Guembelitria cretacea Zone, Parvularugoglobigerina eugubina Zone, Eoglobigerina eabulloides Subzone, and Parasubbotina pseudobulloides Zone p. p. The extinction of most large, ornate, late Maastrichtian species occurs below a black 'boundary clay' (2-4 cm thick); however, part of the Late Cretaceous species, mainly heterohelicidids and hedbergellids, were found over an interval of more than 100 cm above the boundary. Although a relatively high number of species occur for the last time in the main extinction phase, the abundance of these outgoing species is less than 20% of the total population; unkeeled or weakly keeled, simple-shaped forms (heterohelicids, globotruncanellids, hedbergellids) constitute the bulk of the planktonic foraminiferal population both in uppermost Maastrichtian and lowermost Danian beds. The first Tertiary species ('Globigerina' minutula and 'Globigerina' fringa) appear just above the 'boundary clay'; Parvularuglobigerina eugubina occurs a few centimeters above. A marked increase in abundance and diversity in the Tertiary planktonic foraminiferal population occurs at the base of the Eoglobigerina,ina eobulloides Subzone. (C) 1997 Academic Press Limited.</t>
  </si>
  <si>
    <t>Univ Ferrara, Dipartimento Sci Geol &amp; Paleontol, I-4410 Ferrara, Italy</t>
  </si>
  <si>
    <t>University of Ferrara</t>
  </si>
  <si>
    <t>Luciani, V (corresponding author), Univ Ferrara, Dipartimento Sci Geol &amp; Paleontol, Corso Ercole I DEste 32, I-4410 Ferrara, Italy.</t>
  </si>
  <si>
    <t>Luciani, Valeria/K-8572-2015</t>
  </si>
  <si>
    <t>10.1006/cres.1997.0088</t>
  </si>
  <si>
    <t>YT787</t>
  </si>
  <si>
    <t>WOS:000071645000004</t>
  </si>
  <si>
    <t>McAllen, R; Block, W</t>
  </si>
  <si>
    <t>Aspects of the cryobiology of the intertidal harpacticoid copepod Tigriopus brevicornis (O. F.!Muller)</t>
  </si>
  <si>
    <t>CRYOBIOLOGY</t>
  </si>
  <si>
    <t>Tigriopus; differential scanning calorimetry; supercooling point; melting point; subzero survival; osmoconformer; supralittoral rockpools</t>
  </si>
  <si>
    <t>FREEZING TOLERANCE; SALINITY TOLERANCE; SAY</t>
  </si>
  <si>
    <t>Cold-resistance studies of marine invertebrates have concentrated on intertidal sedentary organisms, which are often subjected to subzero air temperatures in winter. Mobile rock Fool inhabitants have been rarely studied because such habitats are thought to buffer environmental variation. However, it is not uncommon for small upper-shore rock pools (similar to 2 by 1 cm) to become completely frozen. Such supralittoral habitats art subject to extreme physicochemical fluctuations especially in salinity (0 to 300 parts per thousand) and temperature (-1 to +32 degrees C) due to evaporation and dilution. The dominant invertebrate in such habitats is the harpacticoid copepod Tigriopus brevicornis. Aspects of the cryobiology of T. brevicornis were investigated using differential scanning calorimetry (DSC). Thermograms obtained from DSC allowed determinations of freeze-onset (supercooling point, SCP), melt-onset, and melt-peak (melting point, MP) temperatures, together with estimation of the proportion of water freezing in the samples. The effects of acclimation salinity, temperature, starvation, and reproductive state on these cryobiological parameters were investigated. Acclimation to increasing salinity depressed the SCP,with the highest salinity (70 parts per thousand) producing the lowest SCP, melt-onset, and MP temperatures at -27.5, -15.2, and -9.5 degrees C respectively. The highest acclimation temperature (20 degrees C) produced the lowest SCP (-23.4 degrees C). Starvation significantly increased the SCP, melt-onset, and MP temperatures in comparison to fed individuals acclimated to the same salinity. The presence of eggs or ovaries in individual copepods elevated the SCP compared to nongravid females and males. LT50 studies showed that acclimation to high salinity improved the ability of T. brevicornis to survive in frozen seawater. Seventy parts per thousand acclimated individuals had an LT50 of 64.9 h compared with just 1.4 h for 5 parts per thousand acclimated individuals in frozen seawater at -5 degrees C. The study shows that the cold-resistance capabilities of T. brevicornis can be affected by several different factors, and the link between the osmoconforming nature of this species and its cold resistance is discussed. (C) 1997 Academic Press.</t>
  </si>
  <si>
    <t>Univ Marine Biol Stn, Millport KA28 0EG, Isle Of Cumbrae, Scotland; British Antarctic Survey, NERC, Cambridge CB3 0ET, England</t>
  </si>
  <si>
    <t>McAllen, R (corresponding author), Univ Marine Biol Stn, Millport KA28 0EG, Isle Of Cumbrae, Scotland.</t>
  </si>
  <si>
    <t>ACADEMIC PRESS INC</t>
  </si>
  <si>
    <t>SAN DIEGO</t>
  </si>
  <si>
    <t>525 B ST, STE 1900, SAN DIEGO, CA 92101-4495 USA</t>
  </si>
  <si>
    <t>0011-2240</t>
  </si>
  <si>
    <t>Cryobiology</t>
  </si>
  <si>
    <t>10.1006/cryo.1997.2046</t>
  </si>
  <si>
    <t>Biology; Physiology</t>
  </si>
  <si>
    <t>Life Sciences &amp; Biomedicine - Other Topics; Physiology</t>
  </si>
  <si>
    <t>YM725</t>
  </si>
  <si>
    <t>WOS:000071094600002</t>
  </si>
  <si>
    <t>Marshall, WA; Chalmers, MO</t>
  </si>
  <si>
    <t>Airborne dispersal of antarctic terrestrial algae and cyanobacteria</t>
  </si>
  <si>
    <t>ECOGRAPHY</t>
  </si>
  <si>
    <t>FELLFIELD SOILS; GROWTH; MICROALGAE</t>
  </si>
  <si>
    <t>The dispersal of algae and cyanobacteria at three Antarctic fellfieId sites was investigated using microscopic and culture analysis of samples from active and passive air samplers. Intersite variation in the mean number of large algal propagules (&gt;5 mu m diameter) sampled was dependent on the niche space available for algal growth and the degree to which soil was exposed to desiccating influences, these factors could be related to the degree of maturity of the site. The numbers of large algal propagules were lowest at sites from which permanent snow cover had recently disappeared and highest at sites with developed soil circles but poorly developed moss and lichen flora. Mature sites with diverse and developed moss and lichen flora produced intermediate numbers of algal propagules. Propagules of multicellular algae, cyanobacteria and large-celled unicellular algae were found in the air at the end of the growing season of the respective algal groups as the soil surface dried. This was the case for Prasiola crispa, Pinnularia borealis, snow algae and filamentous chlorophytes and cyanobacteria. Dispersal of unicellular chlorophytes was greatest during the summer period and at sites with developed secondary flora, but also occurred at other sites and in association with small thaw events during winter. Cultures were obtained from samples collected whilst an air mass that had originated in South America, deposited material on Signy Island. This suggests that algal propagules have the ability to survive long-distance transport and potentially provide inocula for colonization of Antarctica as regional warming continues to expose fresh habitats.</t>
  </si>
  <si>
    <t>British Antarctic Survey, NERC, British Antarctic Survey, Cambridge CB3 0ET, England</t>
  </si>
  <si>
    <t>Marshall, WA (corresponding author), British Antarctic Survey, NERC, British Antarctic Survey, Madingley Rd, Cambridge CB3 0ET, England.</t>
  </si>
  <si>
    <t>0906-7590</t>
  </si>
  <si>
    <t>Ecography</t>
  </si>
  <si>
    <t>10.1111/j.1600-0587.1997.tb00427.x</t>
  </si>
  <si>
    <t>YR733</t>
  </si>
  <si>
    <t>WOS:000071524800007</t>
  </si>
  <si>
    <t>De La Rocha, CL; Brzezinski, MA; DeNiro, MJ</t>
  </si>
  <si>
    <t>Fractionation of silicon isotopes by marine diatoms during biogenic silica formation</t>
  </si>
  <si>
    <t>SOUTHERN-OCEAN; ANTARCTIC OCEAN; PHYTOPLANKTON; CARBON; ACID; PRODUCTIVITY; CHESAPEAKE; DEPENDENCE; NUTRIENTS; DEPLETION</t>
  </si>
  <si>
    <t>The fractionation of silicon isotopes by three species of marine diatoms, Skeletonema costatum, Thalassiosira weissflogii, and Thalassiosira sp., grown in batch culture, is reported. Fractionation was observed for all species. The delta(30)Si value of the diatom silica and that of the initial silicic acid in the culture medium were used to compute a fractionation factor (alpha). The values of a for the three species were nearly identical, averaging 0.9989 +/- 0.0004 (s.d., n = 13), which corresponds to the production of diatom silica with a delta(30)Si value that is 1.1 parts per thousand more negative than that of the dissolved silicon utilized for growth. The fractionation factor did not vary with temperature and the consequent change in growth rate (ANOVA, p = 0.61; tested at 12 degrees, 15 degrees, and 22 degrees C with Thalassiosira sp.). The observation of fractionation of silicon isotopes by diatoms is an essential step in establishing delta(30)Si variations in biogenic silica as a potential oceanographic tracer. Copyright (C) 1997 Elsevier Science Ltd.</t>
  </si>
  <si>
    <t>Univ Calif Santa Barbara, Dept Ecol Evolut &amp; Marine Biol, Santa Barbara, CA 93106 USA; Univ Calif Santa Barbara, Dept Geol Sci, Santa Barbara, CA 93106 USA</t>
  </si>
  <si>
    <t>De La Rocha, CL (corresponding author), Univ Calif Berkeley, Dept Geol &amp; Geophys, Berkeley, CA 94720 USA.</t>
  </si>
  <si>
    <t>10.1016/S0016-7037(97)00300-1</t>
  </si>
  <si>
    <t>YM713</t>
  </si>
  <si>
    <t>WOS:000071093400011</t>
  </si>
  <si>
    <t>Genge, MJ; Grady, MM; Hutchison, R</t>
  </si>
  <si>
    <t>The textures and compositions of fine-grained Antarctic micrometeorites: Implications for comparisons with meteorites</t>
  </si>
  <si>
    <t>UNEQUILIBRATED ORDINARY CHONDRITES; INTERPLANETARY DUST PARTICLES; COSMIC DUST; EARTHS ATMOSPHERE; CHONDRULE RIMS; CI CHONDRITES; BLUE ICE; GREENLAND; ORIGIN; COLLECTION</t>
  </si>
  <si>
    <t>Micrometeorites recovered from the Earth's surface constitute the most abundant interplanetary dust now falling to Earth. We studied eighty-nine fine grained Antarctic micrometeorites (fg-AMMs) to evaluate their state of alteration and to identify the nature of their precursor materials. Fine-grained AMMs are divided into melted and unmelted groups and subdivided on the basis of textures related to atmospheric entry heating. The textures of melted particles reflect crystallisation after entry heating and those of unmelted AMMs broadly resemble CI, CM, and CR chondrite matrix. The matrix compositions of the fg-AMMs closely resemble those of CM2 chondrites. Matrices provide a more reliable comparison to meteorites than bulk compositions because components such as chondrules and CAIs are not present in representative proportions within individual AMMs. Divergences from CM-like matrix compositions are generally minor and probably arose during entry heating by the dissociation of volatile-bearing phases at subsolidus temperatures and evaporation and loss of immiscible metallic liquids at higher temperatures. Depletions in Ni and Mg relative to CM matrix are tentatively attributed to terrestrial weathering. No conclusive evidence for contamination during atmospheric residence was observed. Contrary to theory, textural evidence suggests that bow shocks and high thermal gradients existed during deceleration of micrometeoroids in the atmosphere. Copyright (C) 1997 Elsevier Science Ltd.</t>
  </si>
  <si>
    <t>Nat Hist Museum, Dept Mineral, London SW7 5BD, England</t>
  </si>
  <si>
    <t>Natural History Museum London</t>
  </si>
  <si>
    <t>Genge, MJ (corresponding author), Nat Hist Museum, Dept Mineral, London SW7 5BD, England.</t>
  </si>
  <si>
    <t>Grady, Monica/0000-0002-4055-533X</t>
  </si>
  <si>
    <t>10.1016/S0016-7037(97)00308-6</t>
  </si>
  <si>
    <t>WOS:000071093400017</t>
  </si>
  <si>
    <t>Marion, GM; Henry, GHR; Freckman, DW; Johnstone, J; Jones, G; Jones, MH; Levesque, E; Molau, U; Molgaard, P; Parsons, AN; Svoboda, J; Virginia, RA</t>
  </si>
  <si>
    <t>Open-top designs for manipulating field temperature in high-latitude ecosystems</t>
  </si>
  <si>
    <t>GLOBAL CHANGE BIOLOGY</t>
  </si>
  <si>
    <t>climate change; passive warming devices; ITEX temperature enhancement; tundra</t>
  </si>
  <si>
    <t>SIMULATED CLIMATE-CHANGE; ENVIRONMENTAL PERTURBATIONS; ELEVATED CO2; TUNDRA; GREENHOUSES; RESPONSES; BALANCE</t>
  </si>
  <si>
    <t>Passive open-top devices have been proposed as a method to experimentally increase temperature in high-latitude ecosystems. There is, however, little documentation on the efficacy of these devices. This paper examines the performance of four open-top chambers for altering temperature at six sites in the Arctic and Antarctica. Most of the heating effect was due to daytime warming above ambient; occasional night-time cooling below ambient, especially of air temperatures, depressed mean daily temperature. The mean daily temperatures at four arctic sites were generally increased by 1.2-1.8 degrees C; but occasionally, temperature depressions also occurred. Under optimal conditions at the antarctic site (dry soils, no vegetation, high radiation) mean daily soil temperatures were increased by +2.2 degrees C (-10 cm) to +5.2 degrees C (0 cm). Protection from wind may Flay a more important role than temperature per se in providing a favourable environment for plant growth within open-top devices. Wind speed had a generally negative impact on mean daily temperature. Daily global radiation was both positively and negatively related to chamber temperature response. The effect of chambers on snow accumulation was variable with the Alexandra Fjord site showing an increased accumulation in chambers but no difference in the date of snowmelt, while at Latnjajaure in a deep snowfall site, snowmelt occurred 1-2 weeks earlier in chambers, potentially increasing the growing season. Selection of a passive temperature-enhancing system requires balancing the temperature enhancement desired against potential unwanted ecological effects such as chamber overheating and altered light, moisture, and wind. In general, the more closed the temperature-enhancing system, the higher is the temperature enhancement, but the larger are the unwanted ecological effects. Open-top chambers alter temperature significantly and minimize most unwanted ecological effects; as a consequence, these chambers are a useful tool for studying the response of high-latitude ecosystems to warming.</t>
  </si>
  <si>
    <t>USA, Cold Reg Res &amp; Engn Lab, Hanover, NH 03755 USA; Univ British Columbia, Dept Geog, Vancouver, BC V6T 1Z2, Canada; Colorado State Univ, Nat Resource Ecol Lab, Ft Collins, CO 80523 USA; Univ Wyoming, Dept Rangeland Ecol &amp; Watershed Management, Laramie, WY 82071 USA; Univ Toronto, Erindale Coll, Dept Bot, Mississauga, ON L5L 1C6, Canada; Univ Gothenburg, Dept Systemat Bot, S-41319 Gothenburg, Sweden; Univ Alaska, Inst Arctic Biol, Fairbanks, AK 99705 USA; Royal Danish Sch Pharm, DK-2100 Copenhagen, Denmark; Dartmouth Coll, Environm Studies Program, Hanover, NH 03755 USA</t>
  </si>
  <si>
    <t>United States Department of Defense; United States Army; U.S. Army Corps of Engineers; U.S. Army Engineer Research &amp; Development Center (ERDC); Cold Regions Research &amp; Engineering Laboratory (CRREL); University of British Columbia; Colorado State University; University of Wyoming; University of Toronto; University Toronto Mississauga; University of Gothenburg; University of Alaska System; University of Alaska Fairbanks; University of Copenhagen; Dartmouth College</t>
  </si>
  <si>
    <t>Marion, GM (corresponding author), USA, Cold Reg Res &amp; Engn Lab, 72 Lyme Rd, Hanover, NH 03755 USA.</t>
  </si>
  <si>
    <t>Wall, Diana H/F-5491-2011; Johnstone, Jill F./C-9204-2009</t>
  </si>
  <si>
    <t>Johnstone, Jill F./0000-0001-6131-9339; Levesque, Esther/0000-0002-1119-6032</t>
  </si>
  <si>
    <t>1354-1013</t>
  </si>
  <si>
    <t>GLOB CHANGE BIOL</t>
  </si>
  <si>
    <t>Glob. Change Biol.</t>
  </si>
  <si>
    <t>10.1111/j.1365-2486.1997.gcb136.x</t>
  </si>
  <si>
    <t>YP513</t>
  </si>
  <si>
    <t>WOS:000071285300003</t>
  </si>
  <si>
    <t>Grin, EA; Cabrol, NA</t>
  </si>
  <si>
    <t>Limnologic analysis of Gusev crater paleolake, Mars</t>
  </si>
  <si>
    <t>ICARUS</t>
  </si>
  <si>
    <t>Mars; surface; geological processes; planets</t>
  </si>
  <si>
    <t>MAADIM-VALLIS; ICE; LAKE; WATER; SEDIMENTATION; ANTARCTICA; ENVIRONMENT; TOPOGRAPHY; THICKNESS; EVOLUTION</t>
  </si>
  <si>
    <t>The survey of the hydrogeologic system formed by Gusev crater and Ma'adim Vallis (Aeolis subquadrangle of Mars) points out evidence for the existence of an ice-covered lake in Gusev crater. A first lake was formed by the drainage of the aquifer in the region surrounding Gusev before the entry of Ma'adim Vallis in the crater. The existence of a former lake in Gusev is deduced from the morphology of the Ma'adim delta. Its comparison with terrestrial Antarctic analogs argues for the presence of an ice-covered lake in Gusev at the time that the southern part of the crater's rampart was breached by Ma'adim first release, and for a subice-lacustrine construction of the valley's delta. Our survey shows that Ma'adim Vallis may have entered Gusev crater as late as Late Hesperian/Early Amazonian as part of a second lake episode. The relationship between the variation of the Gusev lake water-level, the volume of the lake, and the surface of the lake bed is established by our bathymetric model. The elevation of the former lake is deduced from the elevation of the mesa-like structures in the delta of Ma'adim Vallis. Furthermore, the correlation of the crater frequency of Gusev rampart with Mars' stratigraphic age shows that lakes may have occupied Gusev crater over a period of time covering 2 Gyrs., from the formation of the crater to the last episode of water release from Ma'adim Vallis. Though it is most likely that the lake was episodical, the recurrence of abundant water in Gusev crater makes this site a high priority for missions, either for martian resource exploration, or for the search of life. (C) 1997 Academic Press.</t>
  </si>
  <si>
    <t>NASA, Ames Res Ctr, Div Space Sci, Ctr Mars Explorat, Moffett Field, CA 94035 USA</t>
  </si>
  <si>
    <t>Grin, EA (corresponding author), NASA, Ames Res Ctr, Div Space Sci, Ctr Mars Explorat, MS 239-20, Moffett Field, CA 94035 USA.</t>
  </si>
  <si>
    <t>0019-1035</t>
  </si>
  <si>
    <t>Icarus</t>
  </si>
  <si>
    <t>10.1006/icar.1997.5817</t>
  </si>
  <si>
    <t>YX415</t>
  </si>
  <si>
    <t>WOS:000072037700018</t>
  </si>
  <si>
    <t>Carril, AF; Menendez, CG; Nunez, MN</t>
  </si>
  <si>
    <t>Climate change scenarios over the South American region: An intercomparison of coupled general atmosphere-ocean circulation models</t>
  </si>
  <si>
    <t>INTERNATIONAL JOURNAL OF CLIMATOLOGY</t>
  </si>
  <si>
    <t>South America; climate change; coupled general circulation model intercomparison; UKMO; ECHAM-2 (MPI); GFDL; NCAR; surface variables</t>
  </si>
  <si>
    <t>SURFACE AIR-TEMPERATURE; SEA-ICE; SPATIAL VARIABILITY; MEAN RESPONSE; FREQUENCY; CO2</t>
  </si>
  <si>
    <t>Results of four different coupled atmosphere-ocean general circulation model runs for South America and surrounding oceans are examined. The mean response of the simulated climate system to a gradual increase of greenhouse gases is presented. The transient coupled experiment data provided for the Intergovernmental Panel on Climate Change (IPCC) were the most recent available to us at the time of this study, from the following research centres in Europe and USA: the UK Meteorological Office (UKMO), the Max-Planck Institute for Meteorology (MPI), the Geophysical Fluid Dynamic Laboratory (GFDL) and the National Center for Atmospheric Research (NCAR). The regional performance of the control simulations (with fixed CO2 concentration) is determined by comparing sealevel pressure, near-surface zonal wind, precipitation and surface air temperature from the models, against observed climatological fields. The response of the climate system to the enhanced emission scenarios is established comparing the control experiments with the respective transient experiments around the time of doubling CO2. To assist in estimating likely future climate change in the South American region, only the results of those model experiments with the best control simulation of current climate in the region are considered: the UKMO and MPI models. A maximum warming over the continent and a minimum warming in the extratropical oceans, a slight intensification and southward migration of the subtropical ridge, a deepening of the sub-Antarctic trough, an intensification of the westerly winds, and increasing precipitation in the tropics and in the mid-latitude oceans are the most important potential changes simulated by both models for the increased CO2 scenarios. (C) 1997 Royal Meteorological Society.</t>
  </si>
  <si>
    <t>Univ Buenos Aires, CONICET, Ctr Invest Mar &amp; Atmosfera, RA-1428 Buenos Aires, DF, Argentina</t>
  </si>
  <si>
    <t>University of Buenos Aires; Consejo Nacional de Investigaciones Cientificas y Tecnicas (CONICET)</t>
  </si>
  <si>
    <t>Carril, AF (corresponding author), Univ Buenos Aires, CONICET, Ctr Invest Mar &amp; Atmosfera, Ciudad Univ,Pabellon 2,2 Piso, RA-1428 Buenos Aires, DF, Argentina.</t>
  </si>
  <si>
    <t>Carril, Andrea F./GON-3361-2022</t>
  </si>
  <si>
    <t>Carril, Andrea F./0000-0003-3743-9685; Menendez, Claudio Guillermo/0000-0002-2779-7123</t>
  </si>
  <si>
    <t>0899-8418</t>
  </si>
  <si>
    <t>INT J CLIMATOL</t>
  </si>
  <si>
    <t>Int. J. Climatol.</t>
  </si>
  <si>
    <t>10.1002/(SICI)1097-0088(199712)17:15&lt;1613::AID-JOC209&gt;3.0.CO;2-8</t>
  </si>
  <si>
    <t>YR411</t>
  </si>
  <si>
    <t>WOS:000071492600001</t>
  </si>
  <si>
    <t>Le Houerou, HN</t>
  </si>
  <si>
    <t>Climate, flora and fauna changes in the Sahara over the past 500 million years</t>
  </si>
  <si>
    <t>JOURNAL OF ARID ENVIRONMENTS</t>
  </si>
  <si>
    <t>Sahara; desert; climate change; biogeography; flora; fauna; natural resources; biodiversity; desertification</t>
  </si>
  <si>
    <t>EASTERN SAHARA; HOLOCENE; AFRICA; DESERTS; RECORD; PERIOD; MALI</t>
  </si>
  <si>
    <t>The present-day Sahara occupies an area of slightly over 8 million km(2) in Africa, between latitudes 16 and 32 degrees N, circumscribed within the isohyet of 100 +/- 50 mm mean annual rainfall. The hyperarid area alternately expanded and shrank on both sides of a seemingly narrow semi-permanent eremitic zone along the Tropic of Cancer during the course of the Quaternary epoch (1.7Ma). The Cenozoic, Mesozoic and Paleozoic Sahara, in turn, has undergone drastic climatic changes as the African continent drifted northward from its Antarctic position to reach its present latitudinal situation. But, seemingly the Sahara was never the large desert it now is, with the exception perhaps of the Upper Triassic Lower Liassic epochs. The Pleistocene and Holocene contrasting climate changes induced large variations in flora and fauna distribution, as well as in geomorphic processes. The flora shifted from that of typical desert to tropical savanna and Mediterranean forest or steppe, depending on period and location. Fauna, in rum, changed more in abundance than in nature, since the same groups have been in existence since the Upper Pliocene-Lower Pleistocene. Large mammals, for instance, were mainly of Afro-tropical kinship throughout the Pleistocene and Holocene, while small mammals, in contrast, were predominantly of Mediterranean origin over the same periods. And such is still the case. There were varying large degrees in density of occurrence, but relatively minor fluctuations in nature, in response to such environmental changes as lake and dune expansion and retreat, and even glacier expansion and melting at higher elevations. The present-day man-made expansion of desertic conditions to the north and south actually threaten both flora and fauna alike in the short-and medium-term. Most African large mammals, still present in the desert until the second half of the 19th century, have now become ex-tinct, or are on the very verge of extinction in the Sahara (some may be surviving further south, and/or in the East Africa's parks network). The situation, however, is far less dramatic for the flora, which still includes almost 3000 species of vascular plants, although some species - of economic value or not - are in danger from the man-made destruction of their habitat. (C) 1997 Academic Press Limited.</t>
  </si>
  <si>
    <t>Le Houerou, HN (corresponding author), 327 Rue Jussieu, F-34090 Montpellier, France.</t>
  </si>
  <si>
    <t>0140-1963</t>
  </si>
  <si>
    <t>J ARID ENVIRON</t>
  </si>
  <si>
    <t>J. Arid. Environ.</t>
  </si>
  <si>
    <t>10.1006/jare.1997.0315</t>
  </si>
  <si>
    <t>YM095</t>
  </si>
  <si>
    <t>WOS:000071027900006</t>
  </si>
  <si>
    <t>van den Broeke, MR; van de Wal, RSW; Wild, M</t>
  </si>
  <si>
    <t>Representation of Antarctic katabatic winds in a high-resolution GCM and a note on their climate sensitivity</t>
  </si>
  <si>
    <t>SOUTHERN-HEMISPHERE; BLUE-ICE; EAST-ANTARCTICA; MASS-BALANCE; ADELIE LAND; ROSS SEA; MODEL; CIRCULATION; PARAMETERIZATION; TEMPERATURE</t>
  </si>
  <si>
    <t>A high-resolution GCM (ECHAM-3 T106, resolution 1.1 degrees X 1.1 degrees) is found to simulate many characteristic features of the Antarctic-climate. The position and depth of the circumpolar storm belt, the semiannual cycle of the midlatitude westerlies, and the temperature and wind field over the higher parts of the ice sheet are well simulated. However, the strength of the westerlies is overestimated, the annual latitudinal shift of the storm belt is suppressed, and the wintertime temperature and wind speed in the coastal areas are underestimated. These errors are caused by the imperfect simulation of the position of the subtropical ridge, the prescribed sea ice characteristics, and the smoothened model topography in the coastal regions. Ice shelves in the model are erroneously treated as sea ice, which leads to a serious overestimation of the wintertime surface temperature in these areas. In spite of these deficiencies, the model results show much improvement over earlier simulations. In a climate run, the model was forced to a new equilibrium state under enhanced greenhouse conditions (IPCC scenario A, doubled CO2), which enables us to cast a preliminary look at the climate sensitivity of Antarctic katabatic winds. Summertime katabatic winds show a decrease of up to 15% in the lower parts of the ice sheet, as a result of the destruction of the surface inversion by increased absorption of solar radiation (temperature-albedo feedback). On the other hand, wintertime near-surface winds increase by up to 10% owing to a deepening of the circumpolar trough. As a result, the model predicts that the annual mean wind speed remains within 10% of its present value in a doubled CO2 climate, but with an increased amplitude of the annual cycle.</t>
  </si>
  <si>
    <t>Norwegian Polar Res Inst, N-0301 Oslo, Norway; Univ Utrecht, Inst Marine &amp; Atmospher Res, Utrecht, Netherlands; Swiss Fed Inst Technol, Dept Geog, Zurich, Switzerland</t>
  </si>
  <si>
    <t>Norwegian Polar Institute; Utrecht University; Swiss Federal Institutes of Technology Domain; ETH Zurich</t>
  </si>
  <si>
    <t>van den Broeke, MR (corresponding author), Norwegian Polar Res Inst, POB 5077 Majorstua, N-0301 Oslo, Norway.</t>
  </si>
  <si>
    <t>Van den Broeke, Michiel R./F-7867-2011; van de wal, roderik/D-1705-2011; Wild, Martin/J-8977-2012</t>
  </si>
  <si>
    <t>Van den Broeke, Michiel R./0000-0003-4662-7565; van de wal, roderik/0000-0003-2543-3892;</t>
  </si>
  <si>
    <t>10.1175/1520-0442(1997)010&lt;3111:ROAKWI&gt;2.0.CO;2</t>
  </si>
  <si>
    <t>YR813</t>
  </si>
  <si>
    <t>WOS:000071532800009</t>
  </si>
  <si>
    <t>Clem, JM; Bieber, JW; Evenson, P; Hall, D; Humble, JE; Duldig, M</t>
  </si>
  <si>
    <t>Contribution of obliquely incident particles to neutron monitor counting rate</t>
  </si>
  <si>
    <t>SOLAR MINIMUM</t>
  </si>
  <si>
    <t>We describe a new method for calculating geomagnetic cutoffs that incorporates obliquely incident primaries, and we use it to interpret a sea level neutron monitor latitude survey. Effects due to obliquely incident primaries are significant and may be responsible for anomalies observed in this and other latitude surveys. We define an ''apparent'' cutoff that takes these obliquely incident particles into account. Use of our apparent cutoff in a Dorman function fit to the 1994-1995 Bartol Research Institute-University of Tasmania latitude survey data results in a significant improvement over use of the more conventional effective vertical cutoff.</t>
  </si>
  <si>
    <t>UNIV TASMANIA,DEPT PHYS,HOBART,TAS 7001,AUSTRALIA; AUSTRALIAN ANTARCTIC DIV,KINGSTON,TAS 7050,AUSTRALIA</t>
  </si>
  <si>
    <t>University of Tasmania; Australian Antarctic Division</t>
  </si>
  <si>
    <t>Clem, JM (corresponding author), UNIV DELAWARE,BARTOL RES INST,NEWARK,DE 19716, USA.</t>
  </si>
  <si>
    <t>2000 FLORIDA AVE NW, WASHINGTON, DC 20009</t>
  </si>
  <si>
    <t>DEC 1</t>
  </si>
  <si>
    <t>A12</t>
  </si>
  <si>
    <t>10.1029/97JA02366</t>
  </si>
  <si>
    <t>YJ888</t>
  </si>
  <si>
    <t>WOS:A1997YJ88800004</t>
  </si>
  <si>
    <t>Dyrud, LP; Engebretson, MJ; Posch, JL; Hughes, WJ; Fukunishi, H; Arnoldy, RL; Newell, PT; Horne, RB</t>
  </si>
  <si>
    <t>Ground observations and possible source regions of two types of Pc 1-2 micropulsations at very high latitudes</t>
  </si>
  <si>
    <t>ION-CYCLOTRON WAVES; POLAR CUSP; MAGNETIC PULSATIONS; AURORAL OVAL; PLASMA; CLEFT; FIELD; EXTENT</t>
  </si>
  <si>
    <t>We have used 1-year's data from the recently installed Magnetometer Array for Cusp and Cleft Studies (MACCS) in Arctic Canada and from two stations of the developing ''conjugate'' array of Automated Geophysical Observatories (AGOs) in Antarctica to study ULF waves in the Pc 1-2 (100-600 mHz) frequency band at cusp and polar cap latitudes (Lambda similar to 74 degrees - 80 degrees), In this paper we focus on the spectral properties and latitudinal and local time distributions of Pc 1-2 events observed during 1994 and use these along with several case studies to infer the source locations of the two major wave types we have observed. We found little variation in center-band frequency of the Pc 1-2 waves we observed, but the average event bandwidth was distinctly wider at stations near 80 degrees MLAT than at stations near 75 degrees MLAT, Broadband waves, with diffuse spectral character, dominated at the higher latitudes, but their occurrence was confined at most stations to within 4 hours of local magnetic noon, Waves with narrower bandwidth were much more common in our data set, and were the statistically dominant wave type at the lower-latitude MACCS stations, Their occurrence was also limited to the dayside but extended both later and more widely in local time than the more broadband waves, These multistation observations, combined with data from the DMSP, IMP 8, and Geotail satellites, suggest the possibility that these two wave types originate in quite different regions near the magnetospheric boundary; the more narrowband waves in the subsolar and postnoon equatorial region, and the more broadband waves in the high-latitude plasma mantle (and possibly at the poleward edge of the cusp), The cusp itself appears to not be a significant source of Pc 1-2 wave activity that can be detected by ground observatories.</t>
  </si>
  <si>
    <t>UNIV NEW HAMPSHIRE,DURHAM,NH 03824; TOHOKU UNIV,UPPER ATMOSPHERE &amp; SPACE RES LAB,SENDAI,MIYAGI 980,JAPAN; BOSTON UNIV,CTR SPACE PHYS,BOSTON,MA 02215; JOHNS HOPKINS UNIV,APPL PHYS LAB,LAUREL,MD 20723; BRITISH ANTARCTIC SURVEY,NERC,CAMBRIDGE CB3 0ET,ENGLAND</t>
  </si>
  <si>
    <t>University System Of New Hampshire; University of New Hampshire; Tohoku University; Boston University; Johns Hopkins University; Johns Hopkins University Applied Physics Laboratory; UK Research &amp; Innovation (UKRI); Natural Environment Research Council (NERC); NERC British Antarctic Survey</t>
  </si>
  <si>
    <t>Dyrud, LP (corresponding author), AUGSBURG COLL,DEPT PHYS,MINNEAPOLIS,MN 55454, USA.</t>
  </si>
  <si>
    <t>Horne, Richard B/U-3764-2019</t>
  </si>
  <si>
    <t>Horne, Richard B/0000-0002-0412-6407</t>
  </si>
  <si>
    <t>10.1029/97JA02191</t>
  </si>
  <si>
    <t>WOS:A1997YJ88800010</t>
  </si>
  <si>
    <t>Jarvis, MJ</t>
  </si>
  <si>
    <t>Latitudinal variation of quasi-biennial oscillation modulation of the semidiurnal tide in the lower thermosphere</t>
  </si>
  <si>
    <t>11-YEAR SOLAR-CYCLE; GEOMAGNETIC VARIATION; MIDDLE ATMOSPHERE; SPREAD-F; QBO; VARIABILITY; WINTER; FIELD; RANGE; WINDS</t>
  </si>
  <si>
    <t>Perturbations in the geomagnetic field at the Earth's surface can result from variations in the neutral wind field in the lower thermosphere through dynamo action in the interfused ionospheric E region. Thus spectral analysis of the Sq variations in ground-based geomagnetic data extending continuously over many years, and from several sites worldwide, has been carried out to investigate the variation with latitude of quasi-biennial oscillation (QBO) effects in the semidiurnal tide in the lower thermosphere. This QBO modulation of the tide appears to be greatest around similar to 60 degrees latitude. The phase of the oscillation is largely latitude independent and implies QBO modulation of the upward propagating semidiurnal tide close to its source region. The semidiurnal tide appears to propagate upward more easily during the easterly phase of the tropical stratospheric QBO at 30 mbar than during the westerly phase.</t>
  </si>
  <si>
    <t>Jarvis, MJ (corresponding author), BRITISH ANTARCTIC SURVEY,NERC,HIGH CROSS,MADINGLEY RD,CAMBRIDGE CB3 0ET,ENGLAND.</t>
  </si>
  <si>
    <t>10.1029/97JA02034</t>
  </si>
  <si>
    <t>WOS:A1997YJ88800024</t>
  </si>
  <si>
    <t>Hodgson, D; Tyler, P; Vyverman, W</t>
  </si>
  <si>
    <t>The palaeolimnology of Lake Fidler, a meromictic lake in south-west Tasmania and the significance of recent human impact</t>
  </si>
  <si>
    <t>palaeolimnology; diatoms; meromixis; lake ontogeny; human disturbance</t>
  </si>
  <si>
    <t>PAPUA-NEW-GUINEA; MADANG PROVINCE; SULFIDE POOL; ECOLOGY; HISTORY; CHRYSOPHYCEAE; PHYTOPLANKTON; DISTURBANCE; MEROMIXIS; AUSTRALIA</t>
  </si>
  <si>
    <t>Three meromictic lakes in the World Heritage Area of south-west Tasmania possess unusual microbiological communities. Their meromixis is maintained by periodic incursions of brackish water from the nearby Gordon River which, in its lower reaches, is a salt-wedge estuary. In 1977 the construction of a dam in the middle reaches of the river restricted penetration of the salt-wedge and meromixis rapidly declined in all three lakes. A palaeolimnological study was carried out on one of the lakes, Lake I;idler, firstly to determine the history of meromixis and its associated microbiological communities, and secondly to assess whether the recent and rapid decline of meromixis is inconsistent with natural rates of development of the Gordon River meromictic lakes. One part of this study included the analysis of the stratigraphy of fossil diatoms from a 17-metre sediment core dating back 8000 yrs. Detrended Correspondence Analysis and Analog Matching were used to compare diatom species assemblages in core samples with diatom samples from a reference dataset consisting of a selection of lake and river sites in the lower Gordon River valley. Five distinct stratigraphic zones were identified in the core. These zones indicated specific stages in the development of the Gordon River lakes from river backwaters to ectogenically-maintained meromictic lakes which will, finally, become terrestrialised by encroaching rainforest. The onset of a stratified water column was identified by the emergence of a dominant freshwater algal flora which suggested that the lake had developed a mixolimnion and become meromictic ca. 2070 +/- 50 C-14 yrs ago. In the context of this long history of meromixis, the rapid demise in meromictic stability following construction of the dam is judged to be inconsistent with natural rates of development. The palaeolimnological studies, of which this paper is one part, prompt recommendations for a management strategy to prevent the further decay of these meromictic lakes in the World Heritage Area.</t>
  </si>
  <si>
    <t>Univ Tasmania, Dept Plant Sci, Hobart, Tas 7001, Australia; Deakin Univ, Sch Aquat Sci &amp; Nat Resources Management, Warrnambool, Vic 3280, Australia</t>
  </si>
  <si>
    <t>University of Tasmania; Deakin University</t>
  </si>
  <si>
    <t>Hodgson, D (corresponding author), British Antarctic Survey, High Cross,Madingley Rd, Cambridge CB3 0ET, England.</t>
  </si>
  <si>
    <t>Dasseville, Renaat/B-3561-2010</t>
  </si>
  <si>
    <t>10.1023/A:1007995614287</t>
  </si>
  <si>
    <t>YT470</t>
  </si>
  <si>
    <t>WOS:000071606800001</t>
  </si>
  <si>
    <t>Hodgson, DA; Wright, SW; Davies, N</t>
  </si>
  <si>
    <t>Mass spectrometry and reverse phase HPLC techniques for the identification of degraded fossil pigments in lake sediments and their application in palaeolimnology</t>
  </si>
  <si>
    <t>palaeolimnology, pigments; mass spectrometry; HPLC; carotenoids; chlorophylls; bacteriochlorophylls; biomarkers</t>
  </si>
  <si>
    <t>FAST-ATOM-BOMBARDMENT; PERFORMANCE LIQUID-CHROMATOGRAPHY; SOUTHWEST TASMANIA; MEROMICTIC LAKES; PHOTOSYNTHETIC PIGMENTS; MARINE-PHYTOPLANKTON; RAPID-DETERMINATION; CAROTENOID ANALYSIS; BREAKDOWN PRODUCTS; BACTERIAL PIGMENTS</t>
  </si>
  <si>
    <t>Accurate identification of fossil pigments is essential if they are to be used as biomarker compounds in palaeolimnological studies. In recent years High Performance Liquid Chromatography (HPLC) has greatly enhanced the efficiency with which fossil pigments can be characterised and quantified. Using HPLC,undegraded pigments are typically identified through retention times, absorbance spectra and co-chromatography with authentic reference standards. However, lake sediments may also contain degraded pigments for which there are often no standards, and which may be difficult to identify using HPLC alone. In this study, we submitted HPLC fractions of fossil pigments and pigment derivatives collected from a meromictic lake in south west Tasmania, to a combination of Mass Spectrometry (MS) techniques including Electron Impact (EI) and static Liquid Secondary Ion MS (LSIMS) to identify their molecular ion characteristics and organic chemical composition. Mass Spectrometry permitted the detection of specific mass ions which were used to verify the identity of pigments and their derivatives. These included five carotenoids, chlorophyll a and derivatives, three previously described bacteriochlorophyll c derivatives with molecular weights of 770, 784, and 802, and two undescribed derivatives of bacteriochlorophyll c with molecular weights of 766 and 788. With these improved identifications we speculate on the pathways and modes of pigment degradation in the lake and asses the value of the degraded pigments as biomarkers. The use of MS permitted the identification of a greater number of signature pigments of algal and bacterial communities thus increasing the palaeolimnological value of the sediments. These methods are best applied in fossil pigment studies where there are a large number of unknown pigments and pigment degradation products, and where there are no authentic standards for co-chromatography Practical suggestions for pigment MS are included in the discussion.</t>
  </si>
  <si>
    <t>Univ Tasmania, Dept Plant Sci, Hobart, Tas 7001, Australia; Australian Antarctic Div, Kingston, Tas 7050, Australia; Univ Tasmania, Cent Sci Lab, Hobart, Tas 7001, Australia</t>
  </si>
  <si>
    <t>University of Tasmania; Australian Antarctic Division; University of Tasmania</t>
  </si>
  <si>
    <t>Hodgson, DA (corresponding author), British Antarctic Survey, High Cross,Madingley Rd, Cambridge CB3 0ET, England.</t>
  </si>
  <si>
    <t>10.1023/A:1007943119392</t>
  </si>
  <si>
    <t>WOS:000071606800002</t>
  </si>
  <si>
    <t>Volkman, JK; Farmer, CL; Barrett, SM; Sikes, EL</t>
  </si>
  <si>
    <t>Unusual dihydroxysterols as chemotaxonomic markers for microalgae from the order Pavlovales (Haptophyceae)</t>
  </si>
  <si>
    <t>sterols; pavlovols; Pavlovales; steroidal diols; Pavlova; Diacronema; chemotaxonomy; fatty acids</t>
  </si>
  <si>
    <t>MARINE-PHYTOPLANKTON; GENUS-PAVLOVA; FINE-STRUCTURE; STEROLS; PRYMNESIOPHYCEAE; TAXONOMY; IDENTIFICATION; ULTRASTRUCTURE; ALKENONES; GYRANS</t>
  </si>
  <si>
    <t>Recent studies have led to the identification of an unusual class of dihydroxysterols (steroidal diols termed pavlovols) in a few species of microalgae from the genus Pavlova (family Pavlovaceae, class Haptophyceae = Prymnesiophyceae). These compounds have an additional hydroxyl group at C-4 in the sterol A ring, which appears to be very rare in sterol biosynthetic pathways. The sterol compositions of many other haptophytes from different orders have been analyzed, but to date all have lacked pavlovols. We now report the occurrence of these compounds in Diacronema vlkianum Prauser and two strains of Pavlova pinguis Green. This is the first report of the lipid composition of these species. Both microalgae contained 24-methylpavlovol (4 alpha, 24-dimethyl-5 alpha-cholestan-3 beta, 4 beta-diol), P. pinguis also contained 24-ethylpavlovol (4 alpha-methyl-24-ethyl-5 alpha-cholestan-3 beta, 4 beta-diol), and D. vlkianum contained a diol identified from its mass spectrum as 4 alpha, 24 beta-dimethyl-5 alpha-cholest-22E-en-3 beta, 4 beta-diol. Both species contained structurally analogous 4-desmethyl sterols and 4-methyl sterols, although there were major differences in the proportions in each series. The major 4-desmethyl sterol in both species was 24-ethylcholesta-5, 22E-dien-3 beta-ol and the major 4-methyl sterol was 4 alpha-methyl-24-ethyl-5 alpha-cholest-22E-en-3 beta-ol. The presence of pavlovols in P. pinguis, combined with earlier data, suggests that all Pavlova species might have this distinguishing lipid feature However, their identification in D. vlkianum extends the occurrence of these compounds to another genus and shows that they are not unique to the genus Pavlova. However, they are probably restricted to species from the order Pavlovales. The modes of biosynthesis and functions of pavlovols remain unknown.</t>
  </si>
  <si>
    <t>CSIRO, Div Marine Res, Hobart, Tas 7001, Australia; Univ Tasmania, Inst Antarctic &amp; So Ocean Studies, Hobart, Tas 7001, Australia; Australian Geol Survey Org, Hobart, Tas 7001, Australia; Univ Tasmania, Antartic CRC, Hobart, Tas 7001, Australia</t>
  </si>
  <si>
    <t>Commonwealth Scientific &amp; Industrial Research Organisation (CSIRO); University of Tasmania; Geoscience Australia; University of Tasmania</t>
  </si>
  <si>
    <t>Volkman, John K/A-6592-2008</t>
  </si>
  <si>
    <t>Farmer, Christine Louise/0009-0009-6232-8531</t>
  </si>
  <si>
    <t>10.1111/j.0022-3646.1997.01016.x</t>
  </si>
  <si>
    <t>YR360</t>
  </si>
  <si>
    <t>WOS:000071487600015</t>
  </si>
  <si>
    <t>Shiraishi, K</t>
  </si>
  <si>
    <t>SEAL project - Structure and Evolution of East Antarctic Lithosphere</t>
  </si>
  <si>
    <t>Natl Inst Polar Res, Itabashi Ku, Tokyo 173, Japan</t>
  </si>
  <si>
    <t>Shiraishi, K (corresponding author), Natl Inst Polar Res, Itabashi Ku, 9-10 Kaga 1 Chome, Tokyo 173, Japan.</t>
  </si>
  <si>
    <t>5-6</t>
  </si>
  <si>
    <t>R10</t>
  </si>
  <si>
    <t>R11</t>
  </si>
  <si>
    <t>10.1016/S0895-9811(97)90065-1</t>
  </si>
  <si>
    <t>ZQ560</t>
  </si>
  <si>
    <t>WOS:000073880300012</t>
  </si>
  <si>
    <t>Temple, GK; Johnston, IA</t>
  </si>
  <si>
    <t>The thermal dependence of fast-start performance in fish</t>
  </si>
  <si>
    <t>JOURNAL OF THERMAL BIOLOGY</t>
  </si>
  <si>
    <t>acute temperature; thermal acclimation; compensation; fast-start; fish; maximum speed; U-max; escape response; prey capture</t>
  </si>
  <si>
    <t>BURST-SWIMMING PERFORMANCE; CARP CYPRINUS-CARPIO; MUSCLE CONTRACTILE PROPERTIES; MYOFIBRILLAR ATPASE ACTIVITY; TEMPERATURE-ACCLIMATION; CLUPEA-HARENGUS; MYOXOCEPHALUS-SCORPIUS; POWER OUTPUT; GASTEROSTEUS-ACULEATUS; SKELETAL-MUSCLE</t>
  </si>
  <si>
    <t>Many fish species use fast-starts to escape predators and capture prey. There is evidence for changes in fast-start behaviour with temperature, over acute, seasonal, developmental and evolutionary time scales. Maximum velocity often increases with acute temperature changes. Thermal acclimation can improve fast-start performance, although responses appear to be reduced in more eurythermal species. Changes in performance with thermal acclimation are often reflected at the molecular, biochemical and cellular levels of organisation. There appears to be little compensation in fast-start performance in Antarctic fish compared to warmer water species. (C) 1998 Elsevier Science Ltd. All rights reserved.</t>
  </si>
  <si>
    <t>Univ St Andrews, Sch Environm &amp; Evolut Biol, Gatty Marine Lab, St Andrews KY16 8LB, Fife, Scotland</t>
  </si>
  <si>
    <t>University of St Andrews</t>
  </si>
  <si>
    <t>Temple, GK (corresponding author), Univ St Andrews, Sch Environm &amp; Evolut Biol, Gatty Marine Lab, St Andrews KY16 8LB, Fife, Scotland.</t>
  </si>
  <si>
    <t>0306-4565</t>
  </si>
  <si>
    <t>J THERM BIOL</t>
  </si>
  <si>
    <t>J. Therm. Biol.</t>
  </si>
  <si>
    <t>10.1016/S0306-4565(97)00058-2</t>
  </si>
  <si>
    <t>Biology; Zoology</t>
  </si>
  <si>
    <t>Life Sciences &amp; Biomedicine - Other Topics; Zoology</t>
  </si>
  <si>
    <t>ZJ891</t>
  </si>
  <si>
    <t>WOS:000073264100004</t>
  </si>
  <si>
    <t>Egginton, S</t>
  </si>
  <si>
    <t>Control of tissue blood flow at very low temperatures</t>
  </si>
  <si>
    <t>cardiac output; cold adaptation; Notothenia coriiceps; radiolabelled microspheres; skeletal muscle</t>
  </si>
  <si>
    <t>RAINBOW-TROUT; EXERCISE</t>
  </si>
  <si>
    <t>Maximum levels of sustainable swimming activity rely on aerobic metabolism, and hence are limited by the cardiovascular supply capacity which is impaired at low temperatures. It is unclear to what extent species adapted to a continuous cold environment retain control of regional blood flow. Muscle blood flow (MBF) was therefore measured using the radiolabelled microsphere method in the Antarctic teleost Notothenia coriiceps and compared with data for trout at their preferred (optimal) temperatures of 0 degrees C and 11 degrees C, respectively. In resting fish, blood flow distribution to skeletal muscle was similar (around 8 ml/min/100 g), despite a lower cardiac output in Notothenia (7 vs. 27 ml/min). Following maximal exercise there was a significant increase in specific blood flow to slow, but not fast, muscle in both species. However, the relative hyperaemia was greater in trout (6.6- vs. 9.3-fold, respectively), with a similar relative increase in cardiac output (2.3- vs. 3.4-fold, respectively). The increase in blood flow to slow muscle, and decrease in peripheral resistance, during maximal exercise in trout (and hence regional O-2 delivery by convective transport) appears to be determined centrally. In contrast, reduced active redistribution from the viscera in Notothenia is presumably responsible for the attenuated increase in MBF on exercise. However, regional hyper- and hypoperfusion can occur within a single locomotory muscle, suggesting control of vascular lone is maintained. (C) 1998 Elsevier Science Ltd. All rights reserved.</t>
  </si>
  <si>
    <t>Univ Birmingham, Dept Physiol, Birmingham B15 2TT, W Midlands, England</t>
  </si>
  <si>
    <t>University of Birmingham</t>
  </si>
  <si>
    <t>Egginton, S (corresponding author), Univ Birmingham, Dept Physiol, Birmingham B15 2TT, W Midlands, England.</t>
  </si>
  <si>
    <t>10.1016/S0306-4565(97)00059-4</t>
  </si>
  <si>
    <t>WOS:000073264100005</t>
  </si>
  <si>
    <t>Tota, B; Cerra, MC; Mazza, R; Pellegrino, D; Icardo, J</t>
  </si>
  <si>
    <t>The heart of the Antarctic icefish as paradigm of cold adaptation</t>
  </si>
  <si>
    <t>Antarctic fish heart; thermal adaptation; myoglobin; cardiac performance; ventricular ultrastructure</t>
  </si>
  <si>
    <t>FISH CHAENOCEPHALUS-ACERATUS; CHIONODRACO-HAMATUS LONNBERG; HEMOGLOBIN-FREE; VENTRICULAR MYOCARDIUM; NOTOTHENIOID FISHES; ULTRASTRUCTURE; TEMPERATURE; PERFORMANCE; PHYSIOLOGY; MYOGLOBIN</t>
  </si>
  <si>
    <t>The stenothermal Antarctic fishes, particularly the hemoglobinless icefish, have developed biochemical, metabolic and morpho-functional features of cardiac performance that can help to decipher some mechanisms underlying cardiac cold adaptation. Examples taken from different levels of cardiac biology in Antarctic fish as a paradigm of cold adaptation include: the function of myoglobin in the icefish species that either express or do not express this pigment: the metabolic and ultrastructural reshaping of the myocardiocytes; and the intrinsic mechanical characteristics of the icefish heart ventricle as a low rate, low pressure and high volume pump. (C) 1998 Elsevier Science Ltd. All rights reserved.</t>
  </si>
  <si>
    <t>Univ Calabria, Dipartimento Biol Cellulare, I-87030 Cosenza, Italy; Univ Cantabria, Dept Anat &amp; Biol Celular, Santander 39011, Spain</t>
  </si>
  <si>
    <t>University of Calabria; Universidad de Cantabria</t>
  </si>
  <si>
    <t>Icardo, Jose Manuel/ABH-5431-2020</t>
  </si>
  <si>
    <t>Icardo, Jose Manuel/0000-0001-9543-2444; Cerra, Maria Carmela/0000-0002-2091-928X; Mazza, Rosa/0000-0002-8699-4012; Pellegrino, Daniela/0000-0002-9815-5195</t>
  </si>
  <si>
    <t>10.1016/S0306-4565(97)00060-0</t>
  </si>
  <si>
    <t>WOS:000073264100006</t>
  </si>
  <si>
    <t>Whiteley, NM; Taylor, EW; El Haj, AJ</t>
  </si>
  <si>
    <t>Seasonal and latitudinal adaptation to temperature in crustaceans</t>
  </si>
  <si>
    <t>crustacean; temperature; gene regulation; oxygen consumption; acid-base balance; muscle; myosin; actin; protein synthesis; heat shock protein</t>
  </si>
  <si>
    <t>CRAYFISH AUSTROPOTAMOBIUS-PALLIPES; ACID-BASE REGULATION; PROTEIN-SYNTHESIS; HEAT-SHOCK; OXYGEN-AFFINITY; ISOPOD; INVERTEBRATES; ACCLIMATION; ANTARCTICA; METABOLISM</t>
  </si>
  <si>
    <t>Eurythermal crustaceans survive seasonal, diurnal or tidal changes in environmental temperature by developing several capacity and resistance adaptations to change their behaviour, physiology, growth and metabolism. In temperate climates. marked physiological differences have been observed between summer and winter crayfish with seasonal changes in haemocyanin oxygen affinity and changes in the relationship between pH and temperature. Rates of protein synthesis in the leg and abdominal muscles of the native British crayfish,. Austropotamobius pallipes. decreased with temperature at an exaggerated Q(10) value of 5-10 suggesting metabolic depression at the low winter temperatures. A similar response was noted in the stenothermal Antarctic isopod, Glyptonotus antarcticus, as whole animal rates of protein synthesis were extremely low in this species when compared to data collected from the temperate marine isopod, Idotea rescata. This was due to the relatively high energetic cost of protein synthesis in G. antarcticus in association with low rates of oxygen uptake. Temperature also has an effect on rates of transcription of several proteins in the muscle, including actin and myosin heavy chain (MHC), with an increase in levels of expression as temperature increases in temperate and Antarctic species. The potential role of heat shock proteins as an additional strategy in the response of temperate crustaceans to thermal stress is discussed. (C) 1998 Elsevier Science Ltd. All rights reserved.</t>
  </si>
  <si>
    <t>Univ Birmingham, Sch Biol Sci, Birmingham B15 2TT, W Midlands, England</t>
  </si>
  <si>
    <t>Whiteley, NM (corresponding author), Univ Birmingham, Sch Biol Sci, POB 363, Birmingham B15 2TT, W Midlands, England.</t>
  </si>
  <si>
    <t>Haj, Alicia J El/B-3315-2012</t>
  </si>
  <si>
    <t>10.1016/S0306-4565(97)00061-2</t>
  </si>
  <si>
    <t>WOS:000073264100007</t>
  </si>
  <si>
    <t>Convey, P</t>
  </si>
  <si>
    <t>How are the life history strategies of Antarctic terrestrial invertebrates influenced by extreme environmental conditions?</t>
  </si>
  <si>
    <t>Antarctica; invertebrate; life history strategy; environmental stress; pre-adaptation; flexibility</t>
  </si>
  <si>
    <t>MITE ALASKOZETES-ANTARCTICUS; INSECT COLD-HARDINESS; COLLEMBOLAN CRYPTOPYGUS-ANTARCTICUS; TEMPERATURE ELEVATION; SEASONAL-VARIATION; NITROGEN DYNAMICS; SOUTH GEORGIA; ARTHROPODS; ISLAND; TOLERANCE</t>
  </si>
  <si>
    <t>1. Features of life history strategies of Antarctic terrestrial invertebrates are reviewed and compared with the predictions of two widely-used general life history models. 2. Many Features observed are consistent with the predictions of adversity- or stress-selected life histories, although ruderal characteristics are also observed. 3. Many features are plesiotypic for the taxonomic groups concerned, suggesting a lack of evolved adaptations within the Antarctic biota. 4. A large degree of flexibility is found in the life histories; this flexibility itself may allow passage of environmentally-imposed selective filters limiting colonisation and development in isolated and extreme terrestrial habitats. 5. In general. Antarctic terrestrial invertebrates may be regarded as pre-adapted for survival of the various stresses imposed by their extreme environment. (C) 1998 Elsevier Science Ltd. All rights reserved.</t>
  </si>
  <si>
    <t>Convey, P (corresponding author), British Antarctic Survey, NERC, High Cross,Madingley Rd, Cambridge CB3 0ET, England.</t>
  </si>
  <si>
    <t>Convey, Peter/AAV-5728-2020</t>
  </si>
  <si>
    <t>Convey, Peter/0000-0001-8497-9903</t>
  </si>
  <si>
    <t>10.1016/S0306-4565(97)00062-4</t>
  </si>
  <si>
    <t>WOS:000073264100008</t>
  </si>
  <si>
    <t>Kieber, DJ; Yocis, BH; Mopper, K</t>
  </si>
  <si>
    <t>Free-floating drifter for photochemical studies in the water column</t>
  </si>
  <si>
    <t>A free-floating drifter was designed to directly determine in situ photochemical production rates, photolysis rates, and light fluxes in seawater. This drifter consisted of six trays that were suspended in series from a single buoy line. The trays were constructed so that the attached quartz vessels, containing filtered seawater, were exposed to both downwelling and upwelling irradiation. The quartz vessels were sealed at both ends with ribbed TFE Teflon stoppers that permitted multiple subsampling without introduction of a headspace. The free-floating drifter was used to study photochemical processes in antarctic waters. It performed well during 12-15-h deployments, even in rough seas with sustained winds between 15 and 26 m s(-1). Although not tested here, the drifter should perform equally well in the study of photochemical processes in freshwater environments.</t>
  </si>
  <si>
    <t>SUNY Coll Environm Sci &amp; Forestry, Dept Chem, Syracuse, NY 13210 USA; Washington State Univ, Dept Chem, Pullman, WA 99164 USA</t>
  </si>
  <si>
    <t>State University of New York (SUNY) System; State University of New York (SUNY) College of Environmental Science &amp; Forestry; Washington State University</t>
  </si>
  <si>
    <t>Kieber, DJ (corresponding author), SUNY Coll Environm Sci &amp; Forestry, Dept Chem, Syracuse, NY 13210 USA.</t>
  </si>
  <si>
    <t>Mopper, Kenneth/J-1761-2012</t>
  </si>
  <si>
    <t>MOPPER, KENNETH/0000-0001-8089-6019</t>
  </si>
  <si>
    <t>10.4319/lo.1997.42.8.1829</t>
  </si>
  <si>
    <t>ZL189</t>
  </si>
  <si>
    <t>WOS:000073407700020</t>
  </si>
  <si>
    <t>Williams, A; Koslow, JA</t>
  </si>
  <si>
    <t>Species composition, biomass and vertical distribution of micronekton over the mid-slope region off southern Tasmania, Australia</t>
  </si>
  <si>
    <t>HOPLOSTETHUS-ATLANTICUS PISCES; WARM-CORE EDDY; EASTERN TASMANIA; MIDWATER FISHES; MESOPELAGIC COMMUNITY; FAMILY MYCTOPHIDAE; NORTHEAST ATLANTIC; CONTINENTAL-SLOPE; DIEL MIGRATIONS; NEW-ZEALAND</t>
  </si>
  <si>
    <t>Seasonal sampling was carried out based on day/night, vertically stratified tows (100 or 125 m strata) in the upper 900 m of the water column over the mid-slope commercial fishing grounds south of Tasmania. A large midwater trawl (105 m(2) mouth area) was used with an opening/closing cod-end. Subtropical convergence and subtropical species dominated the fauna, but many less abundant, more widely-distributed species were also present. Fishes, which contributed 89% of micronekton biomass and 135 of 178 species, were dominated by the Myctophidae (48% biomass and 48 species). Twenty micronekton species made up 80% of the total biomass. Overall, the micronekton fish biomass in this region was 2.2 g m(-2) wet weight. A pronounced day/night shift in the distribution of biomass was attributable to diel migratory species. During the day, &lt;0.2% of the total micronekton biomass was found in 0 to 300 m; most biomass was below 400 m, with peaks at 400 to 525 m and 775 to 900 m. At night, 53% of the biomass was found in 0 to 300 m, with progressively less in each deeper stratum. The vertical ranges of individual species typically exceeded 400 to 500 m during the day and night and were non-coincident, although nycto-epipelagic migrators were concentrated in the surface 200 m at night. Distinct epipelagic, lower and upper mesopelagic assemblages were identified, and patterns of epipelagic migration, limited migration and non-migration were categorised for species from each of the lower and upper mesopelagic assemblages. The vertical distribution of these assemblages was coincident with the primary water masses: subantarctic mode water (similar to 250 to 600 m) and antarctic intermediate water (below similar to 700 m). The flux of migrating micronekton, estimated at 0.94 to 3.36 g C m(-2) yr(-1) to the lower mesopelagic and 1.14 to 4.06 g C m(-2) yr(-1) to the upper mesopelagic, appeared to be considerably outweighed by the consumption needs of aggregated mid-slope benthopelagic predators. We suggest that advection of mesopelagic prey in antarctic intermediate water may sustain aggregated populations of orange roughy (Hoplostethus atlanticus) and other predators on the micronekton in mid-slope depths at this site.</t>
  </si>
  <si>
    <t>CSIRO, Div Marine Res, Hobart, Tas 7001, Australia</t>
  </si>
  <si>
    <t>Williams, A (corresponding author), CSIRO, Div Marine Res, GPO Box 1538, Hobart, Tas 7001, Australia.</t>
  </si>
  <si>
    <t>Williams, Alan/C-6999-2012</t>
  </si>
  <si>
    <t>Williams, Alan/0000-0002-2867-7713</t>
  </si>
  <si>
    <t>10.1007/s002270050246</t>
  </si>
  <si>
    <t>YQ927</t>
  </si>
  <si>
    <t>WOS:000071438600015</t>
  </si>
  <si>
    <t>Sauter, D; Mendel, V; Rommevaux-Jestin, C; Patriat, P; Munschy, M</t>
  </si>
  <si>
    <t>Propagation of the Southwest Indian Ridge at the Rodrigues Triple Junction</t>
  </si>
  <si>
    <t>MARINE GEOPHYSICAL RESEARCH</t>
  </si>
  <si>
    <t>Southwest Indian Ridge; Rodrigues Triple Junction; bathymetry</t>
  </si>
  <si>
    <t>MID-ATLANTIC RIDGE; MORPHOTECTONIC VARIATIONS; OCEAN; EVOLUTION; SEGMENTATION; 57-DEGREES-E; 70-DEGREES-E; GRAVITY; SYSTEM; PLATE</t>
  </si>
  <si>
    <t>The analysis of multibeam bathymetric data of the Southwest Indian Ridge (SWIR) domain between the triple junction traces from 68 degrees E to the Rodrigues Triple Junction (RTJ; 70 degrees E) reveals the evolution of this ridge since magnetic anomaly 4 (8 Ma). Image professing has been used to show that the horizontal component of strain due to a network of normal step faults increases dramatically between 69 degrees 30'E and the RTJ. This area close to the RTJ is characterized by a deep graben at the foot of the triple junction trace on the African plate and by a narrow fault-bounded ridge that joins an offset of the trace on the Antarctic plate. In that area, spreading is primarily amagmatic and dominated by tectonic extension processes. To the west of 69 degrees 30' E, some lobate bathymetric features atop of a large topographic high suggest volcanic constructions. Between 68 degrees 10' E and 69 degrees 25' E the southern flank of the SWIR domain is wider than the northern one and is characterized by a series of 7 en echelon bathymetric highs similar in size, shape and orientation to the one centred at 69 degrees 30' E near the present-day triple junction. Their err echelon organization along the triple junction trace on the Antarctic plate and the typical lack of conjugated parts an the northern flank show that these bathymetric highs have been shifted to the south by successive northward relocalisations of the SWIR rifting zone. This evolution results in the asymmetric spreading of the SWIR in the survey area. The off-axis bathymetric highs connect to the offsets of the triple junction trace on the Antarctic plate when the Southeast Indian Ridge slightly lengthens toward the northwest and the triple junction is relocated to the north. We propose that the SWIR lengthens toward the northeast with two propagation modes: 1) a continuous and progressive propagation with distributed deformation in preexisting crust of the Central Indian Ridge, 2) a discontinuous propagation with focusing of the deformation in a rift zone when the triple junction migrates rapidly to the north. The modes of propagation of the SWIR are related to different localisation and distribution of strain which are in turn controlled by changes of the triple junction configurations due to propagation, recession or asymmetric spreading on the Central and Southeast Indian Ridges.</t>
  </si>
  <si>
    <t>Inst Phys Globe Strasbourg, CNRS, UMR 7516, Ecole &amp; Observ Sci Terre, F-67084 Strasbourg, France; Univ Paris 06, CNRS, URA 736, Lab Petrol, F-75252 Paris 05, France; Inst Phys Globe Strasbourg, F-75252 Paris 05, France</t>
  </si>
  <si>
    <t>Universites de Strasbourg Etablissements Associes; Universite de Strasbourg; Centre National de la Recherche Scientifique (CNRS); CNRS - National Institute for Earth Sciences &amp; Astronomy (INSU); Centre National de la Recherche Scientifique (CNRS); Sorbonne Universite</t>
  </si>
  <si>
    <t>Sauter, D (corresponding author), Inst Phys Globe Strasbourg, CNRS, UMR 7516, Ecole &amp; Observ Sci Terre, 5 Rue Rene Descartes, F-67084 Strasbourg, France.</t>
  </si>
  <si>
    <t>sauter, daniel/K-6532-2014; sauter, daniel/Q-5519-2019; ROMMEVAUX, Céline/A-5967-2011; ROMMEVAUX, Céline/JAC-7775-2023; , Munschy/F-1221-2017</t>
  </si>
  <si>
    <t>sauter, daniel/0000-0003-3651-8090; sauter, daniel/0000-0003-3651-8090; ROMMEVAUX, Céline/0000-0001-8624-5508; ROMMEVAUX, Céline/0000-0001-8624-5508; Mendel, Veronique/0000-0003-3642-2881</t>
  </si>
  <si>
    <t>10.1023/A:1004313109111</t>
  </si>
  <si>
    <t>129KB</t>
  </si>
  <si>
    <t>WOS:000076461400007</t>
  </si>
  <si>
    <t>Mendel, V; Sauter, D; Parson, L; Vanney, JR</t>
  </si>
  <si>
    <t>Segmentation and morphotectonic variations along a super slow-spreading center:: The Southwest Indian Ridge (57° E-70° E)</t>
  </si>
  <si>
    <t>Southwest Indian Ridge; bathymetry; segmentation</t>
  </si>
  <si>
    <t>MID-ATLANTIC RIDGE; OCEAN TRIPLE JUNCTION; AUSTRALIAN-ANTARCTIC DISCORDANCE; AXIS DISCONTINUITIES; MAGMATIC ACCRETION; REYKJANES RIDGE; PLATE MOTIONS; SEA BEAM; EVOLUTION; MORPHOLOGY</t>
  </si>
  <si>
    <t>Bathymetric data along the Southwest Indian Ridge (SWIR) between 57 degrees E and 70 degrees E have been used to analyze the characteristics of the segmentation and the morphotectonic variations along this ridge. Higher axial volcanic ridges on the SWIR than on the central Mid-Atlantic Ridge (MAR) indicate that the lithosphere beneath the SWIR axis that supports these volcanic ridges, is thicker than the lithosphere beneath the MAR. A stronger/thicker lithosphere allows less along-axis melt flow and enhances the large crustal thickness variations due to 3D mantle upwellings. Magmatic processes beneath the SWIR are more focused, producing segments that are shorter (30 km mean length) with higher along-axis relief (1200 m mean amplitude) than on the MAR. The dramatic variations in the length and amplitude of the swells (8-50 km and 500-2300 m respectively), the height of axial volcanic ridges (200-1400 m) and the number of volcanoes (5-58) between the different types of segments identified on the SWIR presumably ref;ect large differences in the volume, focusing and temporal continuity of magmatic upwelling beneath the axis. To the east of Melville fracture zone (60 degrees 42'E), the spreading center is deeper, the bathymetric undulation of the axial-valley floor is less regular and the number of volcanoes is much lower than to the west. The spreading segments are also shorter and have higher along-axis amplitudes than to the west of Melville fracture zone where segments are morphologically similar to those observed on the central MAR. The lower magmatic activity together with shorter and higher segments suggest colder mantle temperatures with generally reduced and more focused magma supply in the deepest part of the survey area between 60 degrees 42'E and 70 degrees E. The non-transform discontinuities show offsets as large as 70 km and orientations up to N36 degrees E as compared to the N0 degrees E spreading direction. We suggest that in regions of low or sporadic melt generation, the lithosphere near discontinuities is laterally heterogeneous and mechanically unable to sustain focused strike-slip deformation.</t>
  </si>
  <si>
    <t>Ecole &amp; Observ Sci Terre, Lab Geophys Marine, CNRS, F-67084 Strasbourg, France; Southampton Oceanog Ctr, Southampton SO14 3ZH, Hants, England; Univ Paris 06, Dept Geotecton, F-75252 Paris, France</t>
  </si>
  <si>
    <t>Centre National de la Recherche Scientifique (CNRS); Universites de Strasbourg Etablissements Associes; Universite de Strasbourg; NERC National Oceanography Centre; University of Southampton; Sorbonne Universite</t>
  </si>
  <si>
    <t>Mendel, V (corresponding author), Ecole &amp; Observ Sci Terre, Lab Geophys Marine, CNRS, 5 Rue Rene Descartes, F-67084 Strasbourg, France.</t>
  </si>
  <si>
    <t>sauter, daniel/K-6532-2014; sauter, daniel/Q-5519-2019</t>
  </si>
  <si>
    <t>sauter, daniel/0000-0003-3651-8090; sauter, daniel/0000-0003-3651-8090; Mendel, Veronique/0000-0003-3642-2881</t>
  </si>
  <si>
    <t>10.1023/A:1004232506333</t>
  </si>
  <si>
    <t>WOS:000076461400005</t>
  </si>
  <si>
    <t>Taylor, F; McMinn, A; Franklin, D</t>
  </si>
  <si>
    <t>Distribution of diatoms in surface sediments of Prydz Bay, Antarctica</t>
  </si>
  <si>
    <t>MARINE MICROPALEONTOLOGY</t>
  </si>
  <si>
    <t>Prydz Bay; Antarctica; diatoms; multivariate analysis</t>
  </si>
  <si>
    <t>SEA-ICE; EAST-ANTARCTICA; PACK ICE; PHYTOPLANKTON; PALEOECOLOGY; ASSEMBLAGES; BIOFACIES; COMMUNITY; ORIGIN; HARBOR</t>
  </si>
  <si>
    <t>Four diatom assemblages are identified from the surface sediments of Prydz Bay and the Mac.Robertson Shelf using multivariate analysis. A coastal assemblage is characterised by the sea-ice diatoms Fragilariopsis curta, F. angulata, F. cylindrus and Pseudonitzschia turgiduloides. A continental shelf assemblage is characterised by sea-ice and ice-edge diatoms, and an oceanic assemblage is characterised by the open-water diatoms Fragilariopsis kerguelensis, Thalassiosira lentiginosa, T. gracilis var. expecta and Trichotoxin reinboldii. The Cape Darnley assemblage contains both sea-ice and open-water diatoms, but all are characteristically large and heavily silicified. Multiple regression has been used to identify the relationships between the diatom assemblages and known environmental variables. There are strong correlations between the coastal, shelf and oceanic assemblages and ecological conditions, including latitude, sea-ice distribution and ocean currents. The Cape Darnley assemblage is thought to represent an assemblage from which the smaller and more lightly silicified species have been removed by current winnowing.</t>
  </si>
  <si>
    <t>UNIV TASMANIA,INST ANTARCTIC &amp; SO OCEAN STUDIES,HOBART,TAS 7001,AUSTRALIA</t>
  </si>
  <si>
    <t>Taylor, F (corresponding author), ANTARCTIC CRC,GPO BOX 252-80,HOBART,TAS 7001,AUSTRALIA.</t>
  </si>
  <si>
    <t>0377-8398</t>
  </si>
  <si>
    <t>MAR MICROPALEONTOL</t>
  </si>
  <si>
    <t>Mar. Micropaleontol.</t>
  </si>
  <si>
    <t>10.1016/S0377-8398(97)00021-2</t>
  </si>
  <si>
    <t>YF943</t>
  </si>
  <si>
    <t>WOS:A1997YF94300001</t>
  </si>
  <si>
    <t>Schmiedl, G; Mackensen, A; Muller, PJ</t>
  </si>
  <si>
    <t>Recent benthic foraminifera from the eastern South Atlantic Ocean: Dependence on food supply and water masses</t>
  </si>
  <si>
    <t>benthic foraminifera; living; South Atlantic; biogeography; ecology</t>
  </si>
  <si>
    <t>POLAR FRONT REGION; ANTARCTIC BOTTOM WATER; NORTHERN ADRIATIC SEA; MARINE ORGANIC-MATTER; OXYGEN MINIMUM ZONE; DEEP-SEA; CONTINENTAL-MARGIN; ANGOLA BASIN; INDIAN-OCEAN; ECOLOGICAL IMPLICATIONS</t>
  </si>
  <si>
    <t>Sixty surface sediment samples from the eastern South Atlantic Ocean including the Walvis Ridge, the Angola and Cape basins, and the Southwest African continental margin were analysed for their benthic foraminiferal content to unravel faunal distribution patterns and ecological preferences. Live (stained with Rose Bengal) and dead faunas were counted separately and then each grouped by e-mode principal component analysis into seven principal faunal end-members. Then, multiple regression technique was used to correlate Recent assemblages with available environmental variables and to finally differentiate between four principal groups of environmental agents acting upon the generation of benthic foraminiferal assemblages: (1) seasonality of food supply and organic carbon flux rates, together with oxygen content in the pore and bottom waters; (2) lateral advection of deep-water masses; (3) bottom water carbonate corrosiveness; and (4) energetic state at the benthic boundary layer and grain size composition of the substrate. Food supply and corresponding dissolved oxygen contents in the pore and bottom waters turned out to be the most important factors which control the distribution pattern of the Recent benthic foraminifera. At the continental margin, in the zone of coastal upwelling and its mixing area, benthic foraminiferal assemblages are dominated by stenobathic high-productivity faunas, characterized by elevated standing stocks, low diversities and a large number of endobenthic living species. At the continental shelf and upper continental slope the live assemblages are characterized by Rectuvigerina cylindrica, Uvigerina peregrina s.l., Uvigerina auberiana and Rhizammina spp. while the dead assemblages are characterized by Cassidulina. laevigata, Bolivina dilatata, Bulimina costata and B. mexicana. At the lower continental slope strong influence of high organic matter fluxes on the species composition is restricted to the area off the Cunene river mouth, where the live assemblage is dominated by Uvigerina peregrina s.l., the corresponding dead assemblage by Melonis barleeanum and M. zaandamae. In the adjacent areas of the lower continental slope the biocoenosis is characterized by Reophax bilocularis, and Epistominella exigua which becomes dominant in the corresponding dead assemblage. At the Walvis Ridge and in the abyssal Angola and Cape basins, where organic matter fluxes are low and highly seasonal, benthic foraminiferal assemblages reflect both the oligotrophic situation and the deep and bottom water mass configuration. The top and flanks of the Walvis Ridge are inhabited by the Rhizammina, Psammosphaera and R. bilocularis live assemblages, the corresponding dead assemblages are dominated by C. subglobosa on the ridge top and E. exigua on the flanks. Within the highly diverse E. exigua dead assemblage several associated epibenthic species coincide with the core of NADW between about 1600 and 3700 m water depth. These species include Osangularia culter, Cibicidoides kullenbergi, Melonis pompilioides, Bolivinita pseudothalmanni and Bulimina alazanensis. The assemblages of the abyssal Cape and Angola basins are characterized by Nuttallides umbonifer and a high proportion of agglutinated species. These species are adapted to very low organic matter fluxes and a carbonate corrosive environment.</t>
  </si>
  <si>
    <t>ALFRED WEGENER INST POLAR &amp; MARINE RES,D-27515 BREMERHAVEN,GERMANY; UNIV BREMEN,DEPT GEOSCI,D-28359 BREMEN,GERMANY</t>
  </si>
  <si>
    <t>Helmholtz Association; Alfred Wegener Institute, Helmholtz Centre for Polar &amp; Marine Research; University of Bremen</t>
  </si>
  <si>
    <t>Schmiedl, Gerhard/E-6644-2017; Mackensen, Andreas/J-8600-2013</t>
  </si>
  <si>
    <t>Schmiedl, Gerhard/0000-0002-2177-6858; Mackensen, Andreas/0000-0002-5024-4455</t>
  </si>
  <si>
    <t>10.1016/S0377-8398(97)00023-6</t>
  </si>
  <si>
    <t>WOS:A1997YF94300003</t>
  </si>
  <si>
    <t>McKnight, DG; Probert, PK</t>
  </si>
  <si>
    <t>Epibenthic communities on the Chatham Rise, New Zealand</t>
  </si>
  <si>
    <t>NEW ZEALAND JOURNAL OF MARINE AND FRESHWATER RESEARCH</t>
  </si>
  <si>
    <t>New Zealand; Chatham Rise; bathyal benthos; epifauna; communities; Echinodermata; Crustacea; Mollusca</t>
  </si>
  <si>
    <t>Samples of epibenthic macrofauna were collected using a small sledge trawl from 40 stations on the Chatham Rise (42 degrees 34'-44 degrees 47'S; 175 degrees 34'-E179 degrees 03'W) at water depths of 237-2039 m. 218 taxa were collected, predominantly echinoderms, crustaceans, and molluscs. Multivariate analysis based on 85 species indicated three epibenthic communities, the shallowest characterised mainly by crustaceans and two deeper water communities mainly characterised by echinoderms: (1) a community on predominantly sandy sediments on the crest and shallower flanks of the Rise at 237-602 m that included as characteristic species Munida gracilis, Phylladiorhynchus pusillus, Campylonotus rathbunae, Pontophilus acutirostris, and Acutiserolis bromleyana (Crustacea), Amphiura lanceolata (Ophiuroidea), Cuspidaria fairchildi, and Euciroa galatheae (Bivalvia); (2) a community associated with muddy sediments at 462-1693 m that included Ypsilothuria bitentaculata and Pentadactyla longidentis (Holothuroidea), Brissopsis oldhami (Echinoidea), and Amphiophiura ornata (Ophiuroidea); and (3) a community on muddy sediments at 799-2039 m that included Ophiomusium lymani (Ophiuroidea), Porcellanaster cerulsus (Asteroidea), Gracilechinus multidentatus (Echinoidea), and Aeneator recens (Gastropoda). Bathymetric range of the communities was not symmetrical on either side of the Rise; there was a marked submergence on the north side similar to the vertical displacement of the core of the Antarctic Intermediate Water.</t>
  </si>
  <si>
    <t>Natl Inst Water &amp; Atmospher Res Ltd, Wellington, New Zealand; Univ Otago, Dept Marine Sci, Dunedin, New Zealand</t>
  </si>
  <si>
    <t>National Institute of Water &amp; Atmospheric Research (NIWA) - New Zealand; University of Otago</t>
  </si>
  <si>
    <t>McKnight, DG (corresponding author), Natl Inst Water &amp; Atmospher Res Ltd, POB 14 901, Wellington, New Zealand.</t>
  </si>
  <si>
    <t>SIR PUBLISHING</t>
  </si>
  <si>
    <t>WELLINGTON</t>
  </si>
  <si>
    <t>PO BOX 399, WELLINGTON, NEW ZEALAND</t>
  </si>
  <si>
    <t>0028-8330</t>
  </si>
  <si>
    <t>NEW ZEAL J MAR FRESH</t>
  </si>
  <si>
    <t>N. Z. J. Mar. Freshw. Res.</t>
  </si>
  <si>
    <t>10.1080/00288330.1997.9516784</t>
  </si>
  <si>
    <t>YP259</t>
  </si>
  <si>
    <t>WOS:000071258900010</t>
  </si>
  <si>
    <t>Rosenthal, Y; Boyle, EA; Labeyrie, L</t>
  </si>
  <si>
    <t>Last glacial maximum paleochemistry and deepwater circulation in the Southern Ocean: Evidence from foraminiferal cadmium</t>
  </si>
  <si>
    <t>WINTER MIXED LAYER; DEEP-WATER; NORTH-ATLANTIC; ATMOSPHERIC CO2; THERMOHALINE CIRCULATION; INTERMEDIATE WATER; SUBOXIC SEDIMENTS; INDIAN SECTOR; HIGH-LATITUDE; WORLD OCEAN</t>
  </si>
  <si>
    <t>South Atlantic benthic foraminiferal Cd/Ca shows no glacial-interglacial variation, suggesting that the glacial contribution of North Atlantic Deep Water to the Southern Ocean was not much different than at present. In contrast, Cd/Ca in southeast Indian Ridge cores show lower glacial bottom water Cd, comparable to levels in intermediate depths of the North Atlantic and significantly lower than in the deep South Atlantic. Low glacial Cd/Ca was also recorded in planktonic foraminifera, suggesting a substantial decrease in the nutrient concentration of Subantarctic surface water during the glacial maximum which most likely was caused by increased biological productivity. The Cd data are inconsistent with low glacial benthic foraminiferal delta(13)C which suggest higher nutrient concentration. We propose that the low Cd/Ca in the Southeast Indian Ridge records reflects a local source of nutrient-depleted deepwater, formed during the last glacial maximum by open-ocean convection near the Antarctic Polar Front, downstream of the Kerguelene Plateau. If this source was limited to the southeast Indian basin then its impact on the overall chemistry of glacial Circumpolar Deepwater was rather small. However, if during glaciations open-ocean convection became the dominant mode of bottom water formation, it might have had a greater impact on CPDW chemistry.</t>
  </si>
  <si>
    <t>MIT, DEPT EARTH ATMOSPHER &amp; PLANETARY SCI, CAMBRIDGE, MA 02139 USA; UNIV PARIS SUD, DEPT SCI TERRE, F-91198 GIF SUR YVETTE, FRANCE; CEA, CNRS, CTR FAIBLES RADIOACT, F-91198 GIF SUR YVETTE, FRANCE</t>
  </si>
  <si>
    <t>Massachusetts Institute of Technology (MIT); Universite Paris Cite; Universite Paris Saclay; CEA; Centre National de la Recherche Scientifique (CNRS); Universite Paris Saclay</t>
  </si>
  <si>
    <t>Rosenthal, Y (corresponding author), RUTGERS STATE UNIV, INST MARINE &amp; COASTAL SCI, NEW BRUNSWICK, NJ 08901 USA.</t>
  </si>
  <si>
    <t>Labeyrie, Laurent Denis/AAV-8405-2021</t>
  </si>
  <si>
    <t>10.1029/97PA02508</t>
  </si>
  <si>
    <t>YJ498</t>
  </si>
  <si>
    <t>WOS:A1997YJ49800006</t>
  </si>
  <si>
    <t>Döhler, G</t>
  </si>
  <si>
    <t>Effect of UVB radiation on utilization of inorganic nitrogen by Antarctic microalgae</t>
  </si>
  <si>
    <t>PHOTOCHEMISTRY AND PHOTOBIOLOGY</t>
  </si>
  <si>
    <t>ULTRAVIOLET-RADIATION; MARINE DIATOMS; B RADIATION; ODONTELLA-WEISSFLOGII; SCOTIA SEA; PHYTOPLANKTON; ASSIMILATION; IMPACT; OZONE</t>
  </si>
  <si>
    <t>The impact of UVB (280-315 nm) radiation (WG 305) on uptake of N-15-ammonium and N-15-nitrate of marine phytoplankton from station 219 (47 degrees W, 61.5 degrees S) and sea ice-algae from station 265 (22.6,degrees W, 73.29 degrees S) was studied during the Polarstern Cruise (EPOS III, Leg 3) to the Weddell Sea, Antarctica 1989. Uptake rates (NH4+)-N-15 were higher and more affected by UVB radiation than those of (NO3-)-N-15. Pool sizes of the main amino acids changed in response to the used inorganic nitrogen source and UV exposure, Pools of glutamine, serine and glycine decreased, whereas those of alanine, asparagine and glutamate increased after UVB irradiation, The N-15-incorporation into the amino acids was reduced as a result of UVB exposure of phytoplankton and ice algae, Results are discussed with reference to an inhibitory effect on the enzymes of both carbon and nitrogen metabolism as well as to adaptation strategies.</t>
  </si>
  <si>
    <t>Univ Frankfurt, Inst Bot, D-60323 Frankfurt, Germany</t>
  </si>
  <si>
    <t>Döhler, G (corresponding author), Univ Frankfurt, Inst Bot, Siesmayerstr 70, D-60323 Frankfurt, Germany.</t>
  </si>
  <si>
    <t>AMER SOC PHOTOBIOLOGY</t>
  </si>
  <si>
    <t>AUGUSTA</t>
  </si>
  <si>
    <t>BIOTECH PARK, 1021 15TH ST, SUITE 9, AUGUSTA, GA 30901-3158 USA</t>
  </si>
  <si>
    <t>0031-8655</t>
  </si>
  <si>
    <t>PHOTOCHEM PHOTOBIOL</t>
  </si>
  <si>
    <t>Photochem. Photobiol.</t>
  </si>
  <si>
    <t>10.1111/j.1751-1097.1997.tb03233.x</t>
  </si>
  <si>
    <t>Biochemistry &amp; Molecular Biology; Biophysics</t>
  </si>
  <si>
    <t>YN097</t>
  </si>
  <si>
    <t>WOS:000071132800018</t>
  </si>
  <si>
    <t>Bayliss, P; EllisEvans, JC; LaybournParry, J</t>
  </si>
  <si>
    <t>Temporal patterns of primary production in a large ultra-oligotrophic Antarctic freshwater lake</t>
  </si>
  <si>
    <t>ICE-COVERED LAKE; PHYTOPLANKTON PHOTOSYNTHESIS; MARINE-PHYTOPLANKTON; WATER PHYTOPLANKTON; MICROBIAL PLANKTON; POPULATION; DYNAMICS; CARBON; LAND; INCUBATIONS</t>
  </si>
  <si>
    <t>A large ultra-oligotrophic Antarctic freshwater lake, Crooked Lake, was investigated between January 1993 and November 1993. The water column supported a small phytoplankton community limited by temperature, nutrient availability and, seasonally, by low photosynthetically active radiation. Chlorophyll a concentrations were consistently low (&lt; 1 mu g l(-1)) and showed no obvious seasonal patterns. Production rates were low, ranging from non-detectable to 0.56 mu g C l(-1) h(-1) with highest rates generally occurring towards the end of the austral winter and in spring. The pattern of carbon fixation indicated that the phytoplankton was adapted to low light levels. Chlorophyll a specific photosynthetic rates (assimilation numbers) ranged fi-om non-detectable to 1.27 mu gC (mu g chlorophyll a)(-1)h(-1). Partitioning of photosynthetic products revealed carbon incorporation principally into storage products such as lipids at high light fluxes with increasing protein synthesis at depth. With little allochthonous input the data suggest that lake dynamics in this Antarctic system are driven by phytoplankton activity.</t>
  </si>
  <si>
    <t>UNIV NOTTINGHAM,DEPT ENVIRONM SCI &amp; PHYSIOL,LOUGHBOROUGH LE12 5RD,LEICS,ENGLAND; UNIV LANCASTER,INST ENVIRONM &amp; BIOL SCI,LANCASTER LAY 4YQ,ENGLAND; BRITISH ANTARCTIC SURVEY,CAMBRIDGE CB3 0ET,ENGLAND</t>
  </si>
  <si>
    <t>University of Nottingham; Lancaster University; UK Research &amp; Innovation (UKRI); Natural Environment Research Council (NERC); NERC British Antarctic Survey</t>
  </si>
  <si>
    <t>175 FIFTH AVE, NEW YORK, NY 10010</t>
  </si>
  <si>
    <t>10.1007/s003000050201</t>
  </si>
  <si>
    <t>YJ510</t>
  </si>
  <si>
    <t>WOS:A1997YJ51000001</t>
  </si>
  <si>
    <t>Marshall, WA; Convey, P</t>
  </si>
  <si>
    <t>Dispersal of moss propagules on Signy Island, maritime Antarctic</t>
  </si>
  <si>
    <t>DISTANCES; SUB</t>
  </si>
  <si>
    <t>Aerobiological studies were conducted for &gt;1 year using arrays of rotorod samplers at three sites on Signy Island, South Orkney Islands, maritime Antarctic. Spores of five bryophyte taxa were identified, all of which are known to be widely distributed and fruit frequently on the island. Spore size did not appear to influence potential for dispersal, with spores of all five taxa being captured 0.5-1 km from their nearest known source plants. Spores were more abundant than plant fragments, although the occurrence of both propagule types in the air was small in comparison to the ground cover of mosses, and the occurrence of lichen propagules in the air. Spores were captured over a much longer period of the year (including the winter months) than that in which sporophyte dehiscence is thought to occur on Signy Island; possible reasons for this are discussed.</t>
  </si>
  <si>
    <t>Marshall, WA (corresponding author), BRITISH ANTARCTIC SURVEY,NERC,HIGH CROSS,MADINGLEY RD,CAMBRIDGE CB3 0ET,ENGLAND.</t>
  </si>
  <si>
    <t>10.1007/s003000050203</t>
  </si>
  <si>
    <t>WOS:A1997YJ51000003</t>
  </si>
  <si>
    <t>Yang, HF; Kirst, GO</t>
  </si>
  <si>
    <t>Effect of UV-radiation on DMSP content and DMS formation of Phaeocystis antarctica</t>
  </si>
  <si>
    <t>DIMETHYL SULFIDE; MARINE-PHYTOPLANKTON; GREEN MACROALGAE; DISSOLVED DMSP; B RADIATION; ICE-EDGE; SEA ICE; WATERS; LIGHT; BLOOM</t>
  </si>
  <si>
    <t>DMSP (dimethyl sulphonium propionate) contents produced by an Antarctic marine phytoplankton species, Phaeocystis antarctica (Prymnesiophyta), which were incubated under light conditions with radiations of different UV wavebands, were measured by gas chromatography after various exposure times. Full light (UV-B + UV-A + PAR) caused the strongest decrease in the production of DMSP in the alga. A marked depression of DMSP content was also observed with short UV-B and UV-A wavebands after 3 h. It was therefore hypothesised that DMSP production in Phaeocystis antarctica was inhibited by UV radiation. There was a negative correlation on change of DMSP contents under UV radiation. There was a negative correlation on change of DMSP contents under UV radiation with exposure times. The conversion rate of DMSP dissolved to DMS (dimethyl sulphide) was significantly increased with UV radiation. The possibility could not be excluded that a high concentration of free chemical radicals in seawater due to UV radiation resulted in an increase of DMSP cleavage in seawater. The oxidation of DMS in seawater due to UV-B radiation could result in a decrease of its flux to the atmosphere. The effect of UV radiation on DMSP production and oxidation of DMS may be an important factor in the variability of DMSP and the global flux of DMS from ocean to atmosphere.</t>
  </si>
  <si>
    <t>UNIV BREMEN, INST MARINE BOT, D-28334 BREMEN, GERMANY</t>
  </si>
  <si>
    <t>SECOND INST OCEANOG, HANGZHOU 310012, PEOPLES R CHINA.</t>
  </si>
  <si>
    <t>10.1007/s003000050206</t>
  </si>
  <si>
    <t>WOS:A1997YJ51000006</t>
  </si>
  <si>
    <t>Masuda, A; Shimoda, J</t>
  </si>
  <si>
    <t>Unique characteristics of the depth profile of lanthanide tetrad effect observed in the Southern Ocean</t>
  </si>
  <si>
    <t>PROCEEDINGS OF THE JAPAN ACADEMY SERIES B-PHYSICAL AND BIOLOGICAL SCIENCES</t>
  </si>
  <si>
    <t>Antarctica; Antarctic Ocean; Weddel Sea; Southern Ocean; West Wind drift; iceberg; abyssal circulation; lanthanide tetrad effect; REE; depth profile; water mass; ocean</t>
  </si>
  <si>
    <t>RARE-EARTH ELEMENTS; PRECISE</t>
  </si>
  <si>
    <t>A depth profile of lanthanide tetrad effect is presented for a water column collected in the southeastern Atlantic Ocean. The ABEXEL value to quantitatively indicate the lanthanide tetrad effect is plotted against the water depth. The features of the ABEXEL-depth profile provide understanding for the unique marine conditions of the Antarctic Ocean, and are quite different from those observed in the eastern Indian Ocean and the eastern North Pacific Ocean. The water column can be divided into six layers based on the features of the ABEXEL-depth profile. The development of a unique structure in the ABEXEL-depth profile and its implications are discussed together with the potential use of the lanthanide tetrad effect in elucidation of our understanding of the formation of deep seawaters within the oceans.</t>
  </si>
  <si>
    <t>Univ Electrocommun, Dept Chem, Tokyo 182, Japan</t>
  </si>
  <si>
    <t>University of Electro-Communications - Japan</t>
  </si>
  <si>
    <t>Masuda, A (corresponding author), Univ Electrocommun, Dept Chem, Tokyo 182, Japan.</t>
  </si>
  <si>
    <t>JAPAN ACAD</t>
  </si>
  <si>
    <t>7-32, UENO PARK, TAITO-KU, TOKYO, 110-0007, JAPAN</t>
  </si>
  <si>
    <t>0386-2208</t>
  </si>
  <si>
    <t>P JPN ACAD B-PHYS</t>
  </si>
  <si>
    <t>Proc. Jpn. Acad. Ser. B-Phys. Biol. Sci.</t>
  </si>
  <si>
    <t>10.2183/pjab.73.195</t>
  </si>
  <si>
    <t>YT245</t>
  </si>
  <si>
    <t>WOS:000071580400001</t>
  </si>
  <si>
    <t>Yao, TD; Thompson, LG; Shi, YF; Qin, DH; Jiao, KQ; Yang, ZH; Tian, LD; Thompson, EM</t>
  </si>
  <si>
    <t>Climate variation since the last interglaciation recorded in the Guliya ice core</t>
  </si>
  <si>
    <t>SCIENCE IN CHINA SERIES D-EARTH SCIENCES</t>
  </si>
  <si>
    <t>climate variation; Last Interglaciation; Guliya ice core</t>
  </si>
  <si>
    <t>The climatic and environmental variations since the Last interglaciation are reconstructed based on the study of the upper 268 m of the 309-m-long Guliya ice core. Five stages can be distinguished since the Last Interglaciation from the delta(18)O record in the Guliya ice core: Stage 1 (Deglaciation), Stage 2 (the Last Glacial Maximum), Stage 3 (interstadial), Stage 4 (interstadial in the early glacial maximum) and Stage 5 (the Last Interglaciation). Stage 5 can be divided further Into 5 substages; a, b, c, d, e. The delta(18)O record in the Guliya ice core indicates clearly the close correlation between the temperature variation on the Tibetan Plateau and the solar activities. The study indicates that the salar activity is a main forcing to the climatic variation on the Tibetan Plateau, Through a comparison of the ice core record in Guliya with that in the Greenland and the Antarctic, it can be found that the variation of large temperature variation events in different parts of the world is generally the same, but the variation amplitude of temperature is different.</t>
  </si>
  <si>
    <t>Yao, TD (corresponding author), CHINESE ACAD SCI,LANZHOU INST GLACIOL &amp; GEOCRYOL,LANZHOU 730000,PEOPLES R CHINA.</t>
  </si>
  <si>
    <t>SCIENCE CHINA PRESS</t>
  </si>
  <si>
    <t>BEIJING</t>
  </si>
  <si>
    <t>16 DONGHUANGCHENGGEN NORTH ST, BEIJING 100717, PEOPLES R CHINA</t>
  </si>
  <si>
    <t>1006-9313</t>
  </si>
  <si>
    <t>SCI CHINA SER D</t>
  </si>
  <si>
    <t>Sci. China Ser. D-Earth Sci.</t>
  </si>
  <si>
    <t>10.1007/BF02877697</t>
  </si>
  <si>
    <t>YK884</t>
  </si>
  <si>
    <t>WOS:A1997YK88400015</t>
  </si>
  <si>
    <t>Storey, BC; Kyle, PR</t>
  </si>
  <si>
    <t>An active mantle mechanism for Gondwana breakup</t>
  </si>
  <si>
    <t>SOUTH AFRICAN JOURNAL OF GEOLOGY</t>
  </si>
  <si>
    <t>Plumes, Plates and Mineralisation 97 Symposium</t>
  </si>
  <si>
    <t>APR 14-18, 1997</t>
  </si>
  <si>
    <t>UNIV PRETORIA, PRETORIA, SOUTH AFRICA</t>
  </si>
  <si>
    <t>UNIV PRETORIA</t>
  </si>
  <si>
    <t>FLOOD BASALTS; FALKLAND-ISLANDS; WEST-ANTARCTICA; GEOPHYSICAL EVIDENCE; CONTINENTAL MARGINS; WEDDELL SEA; PLUMES; CONSTRAINTS; MAGMATISM; EVOLUTION</t>
  </si>
  <si>
    <t>Despite over thirty years of plate tectonic theory, the reasons why supercontinents like Gondwana disintegrate into smaller continents and disperse remain enigmatic. Current ideas mostly involve changes in plate-boundary driving forces (passive mantle hypothesis) in preference to an active plume mechanism, even though mantle plumes were present at most stages of Gondwana breakup. The role of these plumes in the breakup process is uncertain, and ideas vary from the chance unroofing of a pre-existing plume, which only contributed in the production of extensive flood basalts, to plumes that controlled the position of breakup. The magmatic and tectonic record along the proto-Pacific margin of Gondwana indicates that there were important changes in subduction zone forces during the initial stages of Gondwana breakup. However, the absence of subduction along the Neotethyan margin at the time of breakup, together with the fact that the initial rift formed almost at right angles to the active subducting margin, suggest a potential active role for a mantle plume in the initial separation. An active mantle mechanism, involving a very large thermal disturbance or megaplume, may, in contrast to a passive mantle hypothesis, more readily explain the formation and rotation of microplates in the South Atlantic region. It accounts also for the production of unusually large igneous provinces (Chon Aike province in Patagonia, Karoo province in southern Africa, and Ferrar province in Antarctica) just prior to breakup.</t>
  </si>
  <si>
    <t>British Antarctic Survey, NERC, Cambridge CB3 0ET, England; New Mexico Inst Min &amp; Technol, Dept Earth &amp; Environm Sci, Socorro, NM 87801 USA</t>
  </si>
  <si>
    <t>UK Research &amp; Innovation (UKRI); Natural Environment Research Council (NERC); NERC British Antarctic Survey; New Mexico Institute of Mining Technology</t>
  </si>
  <si>
    <t>Storey, BC (corresponding author), British Antarctic Survey, NERC, High Cross,Madingley Rd, Cambridge CB3 0ET, England.</t>
  </si>
  <si>
    <t>GEOLOGICAL SOC SOUTH AFRICA</t>
  </si>
  <si>
    <t>LINDEN</t>
  </si>
  <si>
    <t>PO BOX 44283, LINDEN 2104, SOUTH AFRICA</t>
  </si>
  <si>
    <t>0371-7208</t>
  </si>
  <si>
    <t>S AFR J GEOL</t>
  </si>
  <si>
    <t>S. Afr. J. Geol.</t>
  </si>
  <si>
    <t>ZG394</t>
  </si>
  <si>
    <t>WOS:000072997400003</t>
  </si>
  <si>
    <t>Poulin, E; Féral, JP</t>
  </si>
  <si>
    <t>Poulin, E.; Feral, J. -P.</t>
  </si>
  <si>
    <t>WHY THE DIFFERENCE IN SPECIES NUMBERS OF COASTAL ECHINOIDS IN TWO TROPHIC GROUPS AT TERRE ADELIE (ANTARCTICA): FUNCTIONAL OR HISTORICAL DIVERSITY?</t>
  </si>
  <si>
    <t>VIE ET MILIEU-LIFE AND ENVIRONMENT</t>
  </si>
  <si>
    <t>ECHINOID; ABATUS STERECHINUS; ANTARCTICA; FUNCTIONAL BIODIVERSITY; HISTORICAL BIODIVERSITY; BROODING; EVOLUTION</t>
  </si>
  <si>
    <t>GEOGRAPHICALLY SEPARATED POPULATIONS; LARVAL DEVELOPMENT; BENTHIC INVERTEBRATES; BOTTOM INVERTEBRATES; GENETIC CONSEQUENCES; PLANKTONIC LARVAE; PELAGIC LARVAE; EVOLUTION; REPRODUCTION; DISPERSAL</t>
  </si>
  <si>
    <t>The coastal echinoids found at Terre Adelie belong to two trophic groups. Herbivores are represented by the regular sea urchin, Sterechinus neumayeri, and deposit-feeders by three sympatric brooding species of Abatus. The coexistence of the latter is viewed in relation to long-term evolution of the clade, especially to brood protection, on the background of the tectonic and climatic history of the Antarctic continent.</t>
  </si>
  <si>
    <t>[Poulin, E.; Feral, J. -P.] URA CNRS 2156, Observ Oceanol Banyuls, F-66651 Banyuls Sur Mer, France</t>
  </si>
  <si>
    <t>Sorbonne Universite</t>
  </si>
  <si>
    <t>Poulin, E (corresponding author), URA CNRS 2156, Observ Oceanol Banyuls, BP 44, F-66651 Banyuls Sur Mer, France.</t>
  </si>
  <si>
    <t>poulin@arago.obs-banyuls.fr; feral@arago.obs-banyuls.fr</t>
  </si>
  <si>
    <t>Poulin, Elie/C-2654-2012; FERAL, Jean-Pierre/A-8199-2008; Feral, Jean-Pierre/C-8368-2012</t>
  </si>
  <si>
    <t>Poulin, Elie/0000-0001-7736-0969; FERAL, Jean-Pierre/0000-0001-7627-0160;</t>
  </si>
  <si>
    <t>IFRTP (Institut Francais de Recherche et de Technologie Polaire) [195]; RDM (Reseau Diversite Marine)</t>
  </si>
  <si>
    <t>IFRTP (Institut Francais de Recherche et de Technologie Polaire); RDM (Reseau Diversite Marine)</t>
  </si>
  <si>
    <t>This work was supported by IFRTP (Institut Francais de Recherche et de Technologie Polaire), programme no 195 and by the RDM (Reseau Diversite Marine). We thank P. Laboute for taking so many beautiful underwater pictures. We are also grateful to J.M. Lawrence and S.v. Boletzky for reading the manuscript and improving the English text.</t>
  </si>
  <si>
    <t>OBSERVATOIRE OCEANOLOGIQUE BANYULS</t>
  </si>
  <si>
    <t>BANYULS-SUR-MER CEDEX</t>
  </si>
  <si>
    <t>LABORATOIRE ARAGO, BP 44, 66651 BANYULS-SUR-MER CEDEX, FRANCE</t>
  </si>
  <si>
    <t>0240-8759</t>
  </si>
  <si>
    <t>VIE MILIEU</t>
  </si>
  <si>
    <t>Vie Milieu</t>
  </si>
  <si>
    <t>Ecology; Marine &amp; Freshwater Biology</t>
  </si>
  <si>
    <t>Environmental Sciences &amp; Ecology; Marine &amp; Freshwater Biology</t>
  </si>
  <si>
    <t>V22EJ</t>
  </si>
  <si>
    <t>WOS:000208258200014</t>
  </si>
  <si>
    <t>Thiriot-Quiévreux, C; Cuzin-Roudy, J; Leitao, A</t>
  </si>
  <si>
    <t>Thiriot-Quievreux, C.; Cuzin-Roudy, J.; Leitao, A.</t>
  </si>
  <si>
    <t>GENETIC DIVERSITY OF MEDITERRANEAN AND ANTARCTIC EUPHAUSIIDS (CRUSTACEA:EUPHAUSIACEA)</t>
  </si>
  <si>
    <t>GENETICS; CHROMOSOME; EUPHAUSIACEA</t>
  </si>
  <si>
    <t>Preliminary results on chromosome number and morphology are given for nine euphausiid species from two distinct pelagic ecosystems, the Mediterranean Sea and the South Indian area of the Antarctic Ocean.</t>
  </si>
  <si>
    <t>[Thiriot-Quievreux, C.; Cuzin-Roudy, J.; Leitao, A.] UPMC CNRS INSU, URA 2077, Observ Oceanol, F-06230 Villefranche Sur Mer, France</t>
  </si>
  <si>
    <t>Thiriot-Quiévreux, C (corresponding author), UPMC CNRS INSU, URA 2077, Observ Oceanol, BP 28, F-06230 Villefranche Sur Mer, France.</t>
  </si>
  <si>
    <t>Leitao, Alexandra B/F-8147-2011</t>
  </si>
  <si>
    <t>Leitao-BenHamadou, Alexandra/0000-0001-8903-3797</t>
  </si>
  <si>
    <t>WOS:000208258200016</t>
  </si>
  <si>
    <t>Hammer, C; Mayewski, PA; Peel, D; Stuiver, M</t>
  </si>
  <si>
    <t>Untitled - Preface</t>
  </si>
  <si>
    <t>UNIV NEW HAMPSHIRE,DURHAM,NH 03824; BRITISH ANTARCTIC SURVEY,CAMBRIDGE CB3 0ET,ENGLAND; UNIV WASHINGTON,SEATTLE,WA 98195</t>
  </si>
  <si>
    <t>University System Of New Hampshire; University of New Hampshire; UK Research &amp; Innovation (UKRI); Natural Environment Research Council (NERC); NERC British Antarctic Survey; University of Washington; University of Washington Seattle</t>
  </si>
  <si>
    <t>Hammer, C (corresponding author), UNIV COPENHAGEN,DK-1168 COPENHAGEN,DENMARK.</t>
  </si>
  <si>
    <t>NOV 30</t>
  </si>
  <si>
    <t>C12</t>
  </si>
  <si>
    <t>10.1029/97JC02835</t>
  </si>
  <si>
    <t>YJ671</t>
  </si>
  <si>
    <t>WOS:A1997YJ67100001</t>
  </si>
  <si>
    <t>Wolff, EW; Moore, JC; Clausen, HB; Hammer, CU</t>
  </si>
  <si>
    <t>Climatic implications of background acidity and other chemistry derived from electrical studies of the Greenland Ice Core Project ice core</t>
  </si>
  <si>
    <t>NORTH-ATLANTIC; AMMONIUM; RECORD; SUMMIT; STRATIGRAPHY; VOLCANISM; AEROSOLS; IMPACT; GISP2; SALT</t>
  </si>
  <si>
    <t>High-resolution continuous profiles were obtained on the Greenland Ice Core Project (GRIP) ice core using two different electrical methods. After correction for temperature and density, the electrical conductivity method (ECM) technique responds only to acidity, while dielectric profiling (DEP) responds to acid, ammonium, and chloride. Detailed chemistry on a section of glacial-age ice allows us to confirm the calibration factor for chloride in DEP. Acidity dominates the DEP variability in the Holocene, Allerod/Bolling, and larger interstadials; ammonium dominates in the Younger Dryas, while chloride is the major contributor in cold periods including smaller interstadials. From the electrical signals plotted on a linear timescale we can deduce the background (nonvolcanic) acidity of the ice, varying from always acidic in the Holocene to always alkaline in the cold periods. In the interstadials, the ice is close to neutral, with most of it acidic in larger interstadials, most of it alkaline in smaller ones, and rapid alternations within interstadials. It is not clear whether neutralization of individual acidic particles occurred in the atmosphere or whether acid and alkaline particles coexisted until deposition in the snowpack. The changes in acidity observed at GRIP apply at least to all of Greenland and probably to much of North America. There would have been ecological effects and important changes in the uptake of some chemicals onto ice. If acidic sulfate particles were neutralized and removed from the atmosphere, which remains uncertain, then there are atmospheric chemistry and radiative effects that require further investigation.</t>
  </si>
  <si>
    <t>UNIV COPENHAGEN, DEPT GEOPHYS, DK-2100 COPENHAGEN O, DENMARK; UNIV LAPLAND, ARCTIC CTR, FIN-96101 ROVANIEMI, FINLAND</t>
  </si>
  <si>
    <t>University of Copenhagen; University of Lapland</t>
  </si>
  <si>
    <t>BRITISH ANTARCTIC SURVEY, NERC, HIGH CROSS, MADINGLEY RD, CAMBRIDGE CB3 0ET, ENGLAND.</t>
  </si>
  <si>
    <t>Moore, John C/B-2868-2013; Wolff, Eric W/D-7925-2014; Clausen, Helene/AAU-8786-2020</t>
  </si>
  <si>
    <t>Moore, John C/0000-0001-8271-5787; Wolff, Eric W/0000-0002-5914-8531;</t>
  </si>
  <si>
    <t>10.1029/96JC02223</t>
  </si>
  <si>
    <t>WOS:A1997YJ67100003</t>
  </si>
  <si>
    <t>Yiou, P; Fuhrer, K; Meeker, LD; Jouzel, J; Johnsen, S; Mayewski, PA</t>
  </si>
  <si>
    <t>Paleoclimatic variability inferred from the spectral analysis of Greenland and Antarctic ice-core data</t>
  </si>
  <si>
    <t>GENERAL-CIRCULATION MODEL; EXTRATROPICAL 40-DAY OSCILLATION; OCEAN-ATMOSPHERE MODEL; NORTH-ATLANTIC OCEAN; LAST GLACIAL MAXIMUM; THERMOHALINE CIRCULATION; INTERDECADAL VARIABILITY; CLIMATIC VARIABILITY; HEINRICH EVENTS; SOUTHERN-OCEAN</t>
  </si>
  <si>
    <t>Paleoclimate variations occur at various time scales, between a few centuries for the Heinrich events and several hundreds of millenia for the glacial to interglacial variations. The recent ice cores from Greenland (Greenland Ice Core Project and Greenland Ice Sheet Project 2) and Antarctica (Vostok) span at least one glacial oscillation and provide many opportunities to investigate climate variations with a very fine resolution. The joint study of cores from both hemispheres allows us to distinguish between the sources of variability and helps to propose mechanisms of variations for the different time scales involved. The climate proxies we analyze are inferred from delta(18)O and delta D for temperature and chemical species (such as calcium) for the joint behavior of the major ions in the atmosphere, which yield an estimate of the polar circulation index. Those data provide time series of climatic variables from which we extract the information on the dynamics of the underlying system. We used several independent spectral analysis techniques, to reduce the possibility of spurious results. Those methods encompass the multitaper spectral analysis, singular-spectrum analysis, maximum entropy method, principal component analysis, minimum bias spectral estimates, and digital filter reconstructions. Our results show some differences between the two hemispheres in the slow variability associated with the astronomical forcing. Common features found in the three ice-core records occur on shorter periods, between 1 and 7 kyr. The Holocene also shows recurrent common patterns between Greenland and Antarctica. We-propose and discuss mechanisms to explain such behavior.</t>
  </si>
  <si>
    <t>UNIV BERN,INST PHYS,CH-3012 BERN,SWITZERLAND; UNIV COPENHAGEN,INST GEOPHYS,DK-2200 COPENHAGEN N,DENMARK; UNIV REYKJAVIK,INST SCI,IS-107 REYKJAVIK,ICELAND; UNIV NEW HAMPSHIRE,INST STUDY EARTH OCEANS &amp; SPACE,GLACIER RES GRP,DURHAM,NH 03824; UNIV NEW HAMPSHIRE,INST STUDY EARTH OCEANS &amp; SPACE,CLIMATE CHANGE RES CTR,DURHAM,NH 03824; UNIV NEW HAMPSHIRE,DEPT MATH,DURHAM,NH 03824</t>
  </si>
  <si>
    <t>University of Bern; University of Copenhagen; University of Iceland; University System Of New Hampshire; University of New Hampshire; University System Of New Hampshire; University of New Hampshire; University System Of New Hampshire; University of New Hampshire</t>
  </si>
  <si>
    <t>Yiou, P (corresponding author), CTR ETUD SACLAY,DIRECT SCI MAT,COMMISSARIAT ENERGIE ATOM,LAB MODELISAT CLIMAT &amp; ENVIRONM,F-91191 GIF SUR YVETTE,FRANCE.</t>
  </si>
  <si>
    <t>Green Published, Green Submitted, Bronze</t>
  </si>
  <si>
    <t>WOS:A1997YJ67100011</t>
  </si>
  <si>
    <t>Grootes, PM; Stuiver, M</t>
  </si>
  <si>
    <t>Oxygen 18/16 variability in Greenland snow and ice with 10(-3)- to 10(5)-year time resolution</t>
  </si>
  <si>
    <t>CONTINUOUS POLLEN RECORD; YOUNGER DRYAS EVENT; LAST CLIMATIC CYCLE; NORTH-ATLANTIC; CORE RECORD; GRANDE PILE; OCEAN CIRCULATION; ISOTOPE PROFILES; DEEP-OCEAN; SEA-LEVEL</t>
  </si>
  <si>
    <t>The 3-km-long Greenland Ice Sheet Project 2 (GISP2) ice core presents a 100,000(+)-year detailed oxygen isotope profile covering almost a full glacial-interglacial cycle. Measurements of isotopic fluctuations in snow, frost, and atmospheric water vapor samples collected during summer field seasons (up to 20 parts per thousand) are compatible with the large and abrupt O-18/O-16 changes observed in accumulated firn. Snow pit delta(18)O profiles from the GISP2 summit area, however, show rapid smoothing of the O-18/O-16 signal near the surface. Beyond about 2-m depth the smoothed delta(18)O signal is fairly well preserved and can be interpreted in terms of average local weather conditions and climate. The longer climate fluctuations also have regional and often global significance. In the older part of the record, corresponding to marine isotope stages (MIS) 5a to 5d, the effect of orbital climate forcing via the 19- and 23-kyr precession cycles and the 41-kyr obliquity cycle is obvious. From the end of MIS 5a, at about 75,000 years B.P., till the end of the glacial at the Younger Dryas-Preboreal transition, at 11,650 years B.P., the (OO)-O-18/O-16 record shows frequent, rapid switches between intermediate interstadial and low stadial values. Fourier spectra of the oscillations that are superimposed on the orbitally induced changes contain a strong periodicity at 1.5 kyr, a broad peak at 4.0 kyr, and additional shorter periods. Detailed comparison of the GISP2 O-18/O-16 record with the Vostok, Antarctica, delta D record; Pacific Ocean foraminiferal O-18/O-16; Grande Pile, France, tree pollen; and insolation indicates that a counterpart to many of the rapid O-18/O-16 fluctuations Of GISP2 can be found in the other records, and that the GISP2 isotopic changes clearly are the local expression of climate changes of worldwide extent. Correlation of events on the independent GISP2 and SPECMAP time scales for the interval 10,000-50,000 years B.P. shows excellent chronometric agreement, except possibly for the event labeled 3.1. The glacial to interglacial transition evidently started simultaneously in the Arctic and the Antarctic, but its development and its expression in Greenland isotopes was later suppressed by the influence of meltwater, especially from the Barents Sea ice sheet, on deep water formation and ocean circulation. Meltwaters from different ice sheets bordering the North Atlantic also influenced ocean circulation during the Bolling-Allerod interstadial complex and the Younger Dryas and led to a distinct development of European climate and Greenland O-18/O-16 values. The Holocene interval with long-term stable mean isotopic values contains several fluctuations with periods from years to millennia. Dominant is a 6.3-year oscillation with amplitude up to 3 to 4 parts per thousand. Periodicities of 11 and 210 years, also found in the solar-modulated records of the cosmogenic isotopes Be-10 and C-14, suggest solar processes as the cause of these cycles. Depression of O-18/O-16 values (cooling) by volcanic eruptions is observed in stacked GISP2 delta(18)O records, but the effect is small and not likely to trigger major climate changes.</t>
  </si>
  <si>
    <t>UNIV WASHINGTON,DEPT GEOL SCI,SEATTLE,WA 98195; UNIV WASHINGTON,QUATERNARY RES CTR,SEATTLE,WA 98195</t>
  </si>
  <si>
    <t>Grootes, Pieter M/F-4952-2011</t>
  </si>
  <si>
    <t>Grootes, Pieter/0000-0003-4265-3168</t>
  </si>
  <si>
    <t>10.1029/97JC00880</t>
  </si>
  <si>
    <t>WOS:A1997YJ67100012</t>
  </si>
  <si>
    <t>Jouzel, J; Alley, RB; Cuffey, KM; Dansgaard, W; Grootes, P; Hoffmann, G; Johnsen, SJ; Koster, RD; Peel, D; Shuman, CA; Stievenard, M; Stuiver, M; White, J</t>
  </si>
  <si>
    <t>Validity of the temperature reconstruction from water isotopes in ice cores</t>
  </si>
  <si>
    <t>GENERAL-CIRCULATION MODEL; ANTARCTIC PENINSULA CLIMATE; LAST GLACIAL MAXIMUM; DEUTERIUM EXCESS; CENTRAL GREENLAND; OXYGEN-ISOTOPE; RECORD; PRECIPITATION; SHEET; SNOW</t>
  </si>
  <si>
    <t>Well-documented present-day distributions of stable water isotopes (HDO and (H2O)-O-18) show the existence, in middle and high latitudes, of a linear relationship between the mean annual isotope content of precipitation (delta D and delta(18)O) and the mean annual temperature at the precipitation site. Paleoclimatologists have used this relationship, which is particularly well obeyed over Greenland and Antarctica, to infer paleotemperatures from ice core data. There is, however, growing evidence that spatial and temporal isotope/ surface temperature slopes differ, thus complicating the use of stable water isotopes as paleothermometers. In this paper we review empirical estimates of temporal slopes in polar regions and relevant information that can be inferred from isotope models: simple, Rayleigh-type distillation models and (particularly over Greenland) general circulation models (GCMs) fitted with isotope tracer diagnostics. Empirical estimates of temporal slopes appear consistently lower than present-day spatial slopes and are dependent on the timescale considered. This difference is most probably due to changes in the evaporative origins of moisture, changes in the seasonality of the precipitation, changes in the strength of the inversion layer, or some combination of these changes. Isotope models have not yet been used to evaluate the relative influences of these different factors. The apparent disagreement in the temporal and spatial slopes clearly makes calibrating the isotope paleothermometer difficult. Nevertheless, the use of a (calibrated) isotope paleothermometer appears justified; empirical estimates and most (though not all) GCM results support the practice of interpreting ice core isotope records in terms of local temperature changes.</t>
  </si>
  <si>
    <t>PENN STATE UNIV, DEPT GEOSCI, UNIVERSITY PK, PA 16802 USA; PENN STATE UNIV, CTR EARTH SYST SCI, UNIVERSITY PK, PA 16802 USA; UNIV WASHINGTON, DEPT GEOL SCI, SEATTLE, WA 98195 USA; UNIV WASHINGTON, QUATERNARY RES CTR, SEATTLE, WA 98195 USA; UNIV COPENHAGEN, DEPT GEOPHYS, DK-2100 COPENHAGEN, DENMARK; MAX PLANCK INST METEOROL, D-20146 HAMBURG, GERMANY; NASA, HYDROL SCI BRANCH, GODDARD SPACE FLIGHT CTR, GREENBELT, MD 20771 USA; BRITISH ANTARCTIC SURVEY, CAMBRIDGE CB3 0ET, ENGLAND; NASA, OCEANS &amp; ICE BRANCH, GODDARD SPACE FLIGHT CTR, GREENBELT, MD 20771 USA; UNIV COLORADO, INST ARCTIC &amp; ALPINE RES, BOULDER, CO 80309 USA; UNIV COLORADO, DEPT GEOL SCI, BOULDER, CO 80309 USA; UNIV REYKJAVIK, INST SCI, REYKJAVIK, ICELAND</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</si>
  <si>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 University of Washington; University of Washington Seattle; University of Copenhagen; Max Planck Society; National Aeronautics &amp; Space Administration (NASA); NASA Goddard Space Flight Center; UK Research &amp; Innovation (UKRI); Natural Environment Research Council (NERC); NERC British Antarctic Survey; National Aeronautics &amp; Space Administration (NASA); NASA Goddard Space Flight Center; University of Colorado System; University of Colorado Boulder; University of Colorado System; University of Colorado Boulder; University of Iceland</t>
  </si>
  <si>
    <t>CTR ETUD SACLAY, LAB MODELISAT CLIMAT ENVIRONM, F-91191 GIF SUR YVETTE, FRANCE.</t>
  </si>
  <si>
    <t>Koster, Randal D/F-5881-2012; Grootes, Pieter M/F-4952-2011; White, James W.C./A-7845-2009</t>
  </si>
  <si>
    <t>Koster, Randal D/0000-0001-6418-6383; Grootes, Pieter/0000-0003-4265-3168</t>
  </si>
  <si>
    <t>10.1029/97JC01283</t>
  </si>
  <si>
    <t>WOS:A1997YJ67100013</t>
  </si>
  <si>
    <t>Lal, D; Jull, AJT; Burr, GS; Donahue, DJ</t>
  </si>
  <si>
    <t>Measurements of in situ C-14 concentrations in Greenland Ice Sheet Project 2 ice covering a 17-kyr time span: Implications to ice flow dynamics</t>
  </si>
  <si>
    <t>INSITU COSMOGENIC C-14; ABLATION RATES; COSMIC-RAY; ACCUMULATION; OXYGEN; GISP2; CORES</t>
  </si>
  <si>
    <t>We present results of measurements of C-14 in CO and CO2 phases for selected Greenland Ice Sheet Project 2 firn and ice samples up to a depth of 1838 m (16.6 kyr B.P.). The results show that C-14 in ice consists of both in situ-produced cosmogenic C-14, which can be either in the form of CO or CO2, and trapped atmospheric (CO2)-C-14. In agreement with our previous work on studies of C-14 concentrations in Antarctic firn and ice samples and some GISP2 samples, we found that the cosmogenic in situ-produced C-14 (from spallation of oxygen nuclei) is greater than the trapped atmospheric C-14 component. Also, we can show the total C-14 amounts in ice are consistent with an efficient retention of the in situ variety of C-14 in older ice where we expect lower average temperatures at the time of formation. The firn samples appear to have lost much of the C-14, probably during storage. The ice accumulation rates are estimated after due corrections for the CO2 content of trapped air and ''secondary'' C-14 production in ice during storage at altitude. These values are in good accord with the recent model estimates of Cutler et al [1995], except for two samples, at depths 1518.5 m (9740 years B.P.) and 1698.5 m (12,360 years B.P.). In the first case, the in situ C-14 concentration is significantly higher than that predicted by either of the models, by a factor of about 2. In the second case, the estimate of Cutler et al [1995] is a similar to 50% lower accumulation rate, but the C-14 result is consistent with adjacent samples. A possible reason for the first discrepancy may be the decreased atmospheric pressure at that time at the site, as suggested by D. Raynaud et al. (unpublished manuscript, 1995).</t>
  </si>
  <si>
    <t>UNIV ARIZONA,NATL SCI FDN,ARIZONA ACCELERATOR MASS SPECTROMETER FACIL,TUCSON,AZ 85721</t>
  </si>
  <si>
    <t>National Science Foundation (NSF); University of Arizona</t>
  </si>
  <si>
    <t>Lal, D (corresponding author), UNIV CALIF SAN DIEGO,SCRIPPS INST OCEANOG,GEOSCI RES DIV,LA JOLLA,CA 92093, USA.</t>
  </si>
  <si>
    <t>10.1029/96JC02224</t>
  </si>
  <si>
    <t>WOS:A1997YJ67100015</t>
  </si>
  <si>
    <t>Anklin, M; Schwander, J; Stauffer, B; Tschumi, J; Fuchs, A; Barnola, JM; Raynaud, D</t>
  </si>
  <si>
    <t>CO2 record between 40 and 8 kyr BP from the Greenland Ice Core Project ice core</t>
  </si>
  <si>
    <t>ATMOSPHERIC CO2; CLIMATE; GISP2; GASES</t>
  </si>
  <si>
    <t>CO2 ice-core records show an increase in the atmospheric concentration of 80-100 parts per million by volume (ppmv) from the last glacial maximum (LGM) to the early Holocene. We present CO2 measurements performed on an ice core from central Greenland, drilled during the Greenland Ice Core Project (GRIP). This CO2 profile from GRIP confirms the most prominent CO2 increase from the LGM, with a mean concentration of 200 ppmv, to the early Holocene with concentrations between 290 and 310 ppmv. Some structures of the new CO2 record are similar to those previously obtained from the Dye 3 ice core (Greenland), which indicated a dilemma between Greenland and Antarctic CO2 records [Oeschger et al., 1988]. Both Greenland cores show high CO2 values for rather mild climatic periods during the last glaciation, whereas CO2 records from Antarctica do not show such high CO2 variations during the glaciation and, furthermore, the CO2 values in the early Holocene are about 20-30 ppmv higher in the GRIP record than in Antarctic records. There is some evidence that the difference could be due to chemical reactions between impurities in the ice leading to an increase of the CO2 concentration under certain conditions. If in situ processes can change the CO2 concentration in the air bubbles, the question arises about how reliably do CO2 records from ice cores reflect the atmospheric composition at the time of ice formation. The discrepancies between the CO2 profiles from Greenland and Antarctica can be explained by in situ production of excess CO2 due to interactions between carbonate and acidic species. Since the carbonate concentration in Antarctic ice is much lower than in Greenland ice, CO2 records from Antarctica are much less affected by such in situ-produced CO2.</t>
  </si>
  <si>
    <t>LAB GLACIOL &amp; GEOPHYS ENVIRONM,CNRS,F-38402 ST MARTIN DHER,FRANCE</t>
  </si>
  <si>
    <t>Anklin, M (corresponding author), UNIV BERN,INST PHYS,SIDLERSTR 5,CH-3012 BERN,SWITZERLAND.</t>
  </si>
  <si>
    <t>Raynaud, Dominique/H-9626-2016; raynaud, dominique/ABG-4718-2020</t>
  </si>
  <si>
    <t>10.1029/97JC00182</t>
  </si>
  <si>
    <t>WOS:A1997YJ67100019</t>
  </si>
  <si>
    <t>Chappellaz, J; Brook, E; Blunier, T; Malaize, B</t>
  </si>
  <si>
    <t>CH4 and delta O-18 of O-2 records from Antarctic and Greenland ice: A clue for stratigraphic disturbance in the bottom part of the Greenland Ice Core Project and the Greenland Ice Sheet Project 2 ice cores</t>
  </si>
  <si>
    <t>ATMOSPHERIC METHANE CONCENTRATION; CLIMATE RECORDS; NORTH-ATLANTIC; EUROPE</t>
  </si>
  <si>
    <t>The suggestion of climatic instability during the last interglacial period (Eem), based on the bottom 10% of the Greenland Ice core Project (GRIP) isotopic profile, has been questioned because the bottom record from the neighboring Greenland Ice Sheet Project 2 (GISP2) core (28 km away) is strikingly different over the same interval and because records of the delta(18)O of atmospheric O-2 from both cores showed unexpected rapid fluctuations. Here we present detailed methane records from the Vostok (Antarctica), GRIP, and GISP2 cores over the relevant intervals. The GRIP and GISP2 data show rapid and large changes in methane concentration, which are correlative with variations of the delta(18)O of the ice, while the Vostok record shows no such variations. This discrepancy reinforces the suggestion that the bottom sections of the Greenland records are disturbed. By combining the methane data with measurements of delta(18)O of O-2 in the same samples, we attempt to constrain the nature of the stratigraphic disturbance and the age of the analyzed ice samples. Our results suggest that ice layers from part of the last interglacial period exist in the lower section of both ice cores and that some of the apparent climate instabilities in the GRIP core would be the result of a mixture of ice from the last interglacial with ice from the beginning of the last glaciation or from the penultimate glaciation.</t>
  </si>
  <si>
    <t>CTR ETUD SACLAY,COMMISSARIAT ENERGIE ATOM,LAB MODELISAT CLIMAT &amp; ENVIRONM,F-91191 GIF SUR YVETTE,FRANCE; UNIV BERN,INST PHYS,CH-3012 BERN,SWITZERLAND; UNIV RHODE ISL,GRAD SCH OCEANOG,NARRAGANSETT,RI 02882</t>
  </si>
  <si>
    <t>CEA; Communaute Universite Grenoble Alpes; Universite Grenoble Alpes (UGA); University of Bern; University of Rhode Island</t>
  </si>
  <si>
    <t>Chappellaz, J (corresponding author), LAB GLACIOL &amp; GEOPHYS ENVIRONM,CNRS,54 RUE MOLIERE,BP 96,F-38402 ST MARTIN DHER,FRANCE.</t>
  </si>
  <si>
    <t>Brook, Edward/AAB-7807-2021; Chappellaz, Jérôme A./A-4872-2011; Blunier, Thomas/M-4609-2014</t>
  </si>
  <si>
    <t>Bruno, Malaize/0000-0002-5571-9990; Blunier, Thomas/0000-0002-6065-7747</t>
  </si>
  <si>
    <t>10.1029/97JC00164</t>
  </si>
  <si>
    <t>Green Published, Bronze</t>
  </si>
  <si>
    <t>WOS:A1997YJ67100020</t>
  </si>
  <si>
    <t>Smith, HJ; Wahlen, M; Mastroianni, D; Taylor, K; Mayewski, P</t>
  </si>
  <si>
    <t>The CO2 concentration of air trapped in Greenland Ice Sheet Project 2 ice formed during periods of rapid climate change</t>
  </si>
  <si>
    <t>POLAR ICE; CORE; RECORD</t>
  </si>
  <si>
    <t>The CO2 content of air occluded in Greenland Ice Sheet Project 2 (GISP2) ice formed over two separate intervals of rapidly changing climate, centered at approximately 46 and 63 kyr B.P., is as much as 90 ppm more during warm periods (interstadials) than during cold periods (stadials). These CO2 variations are superimposed on changes in annual layer thickness and delta(18) O of the ice and do not show the 200- to 700-year offsets which would be expected for concurrent variations in the atmosphere and the ice. The CO2 concentrations during the stadials are similar to the atmospheric values recorded by Antarctic ice of the same age, so processes occurring in the ice after bubble enclosure must be enriching the air trapped in GISP2 ice formed during the interstadials. This conclusion is supported by Ca content and electrical conductivity measurements of the ice, which show that adequate carbonate is present to produce these enrichments and that CO2 content is high only when the electrical conductivity (a proxy for H+ concentration) is high. High-resolution mapping of one 4-cm section of ice shows a 200-ppm increase in the CO2 content of the trapped air, from approximately 275 to 475 ppm. Analyses of the total inorganic carbon of ice from both the LGM and Holocene show that most of the Ca in the ice is from CaCO3 and that the delta(13)CO(2) approaches that of soil and marine carbonates. These results show that the CO2 record preserved in ice can be altered by in situ decarbonation reactions and that only ice containing either abundant carbonate or essentially no carbonate contains a reliable record of paleoatmospheric CO2.</t>
  </si>
  <si>
    <t>UNIV NEW HAMPSHIRE, INST STUDY EARTH OCEANS &amp; SPACE, GLACIER RES GRP, DURHAM, NH 03824 USA; UNIV NEVADA, DESERT RES INST, UNIV &amp; COMMUNITY COLL SYST, RENO, NV 89506 USA</t>
  </si>
  <si>
    <t>University System Of New Hampshire; University of New Hampshire; Nevada System of Higher Education (NSHE); Desert Research Institute NSHE; University of Nevada Reno</t>
  </si>
  <si>
    <t>UNIV CALIF SAN DIEGO, SCRIPPS INST OCEANOG, LA JOLLA, CA 92093 USA.</t>
  </si>
  <si>
    <t>Mayewski, Paul Andrew/HRD-6969-2023; Taylor, Kendrick/A-3469-2016</t>
  </si>
  <si>
    <t>Taylor, Kendrick/0000-0001-8535-1261</t>
  </si>
  <si>
    <t>10.1029/97JC00163</t>
  </si>
  <si>
    <t>WOS:A1997YJ67100022</t>
  </si>
  <si>
    <t>Thorsteinsson, T; Kipfstuhl, J; Miller, H</t>
  </si>
  <si>
    <t>Textures and fabrics in the GRIP ice core</t>
  </si>
  <si>
    <t>NORMAL GRAIN-GROWTH; C-AXIS FABRICS; POLAR ICE; POLYCRYSTALLINE ICE; CENTRAL GREENLAND; BORE-HOLE; DYNAMIC RECRYSTALLIZATION; ANTARCTIC ICE; CRYSTAL SIZE; BYRD-STATION</t>
  </si>
  <si>
    <t>A comprehensive study of textures and fabrics has been carried out on the Greenland Ice Core Project (GRIP) ice core. Crystal sizes and c axis orientations have been measured on thin sections with conventional techniques, yielding new information on the growth, rotation and ; recrystallization of ice crystals in the Greenland Ice Sheet. Normal grain growth is found to persist to a depth of 700 m in the core, where the onset of polygonization due to increasing strain prevents a further increase in grain size in the Holocene ice. Smaller crystals are observed in the Wisconsin ice, larger crystals are found in the Eemian ice, and the crystal size is found to vary with climatic parameters in these periods. This dependence, which probably results from variable impurity content in the ice, persists to a depth of 2930 m. Coarse-grained ice, probably resulting from rapid growth of crystals at comparatively high temperatures, is found in the lowest 100 m of the core. The data on c axis orientations reveal a steady evolution of the fabric from random near the surface to a strong single maximum in the lower part of the ice sheet. A significant strengthening is not observed at the Holocene-Wisconsin transition. The fabric development indicates that vertical compression at the ice divide is the main mode of deformation down to a depth of 2850 m. The evolution toward a single maximum fabric hardens the ice against vertical compression but softens it against simple shear. Evidence of simple shear deformation is clearly observed between 2850 m and 2950 m depth. Stretched fabrics in coarse-grained ice in the lowest 100 m could be due to tensional stresses; this ice is unlikely to be undergoing any significant horizontal deformation at the present time.</t>
  </si>
  <si>
    <t>Thorsteinsson, T (corresponding author), ALFRED WEGENER INST POLAR &amp; MARINE RES,DIV GEOPHYS,POB 12 01 61,D-27515 BREMERHAVEN,GERMANY.</t>
  </si>
  <si>
    <t>Miller, Heinrich/0000-0003-1015-2828</t>
  </si>
  <si>
    <t>10.1029/97JC00161</t>
  </si>
  <si>
    <t>WOS:A1997YJ67100023</t>
  </si>
  <si>
    <t>Saltzman, ES; Whung, PY; Mayewski, PA</t>
  </si>
  <si>
    <t>Methanesulfonate in the Greenland Ice Sheet Project 2 ice core</t>
  </si>
  <si>
    <t>SEA-SALT SULFATE; DIMETHYL SULFIDE; SULFUR CYCLE; BIOGENIC SULFUR; PACIFIC-OCEAN; ANTARCTIC ICE; CLIMATE; RECORD; ATMOSPHERE; NITRATE</t>
  </si>
  <si>
    <t>In this paper we present measurements of methanesulfonate in the Greenland Ice Sheet Project 2 (GISP2) ice core. Methanesulfonate is an atmospheric oxidation product of dimethylsulfide. The GISP2 methanesulfonate record contains information about the atmospheric loading of biogenic sulfur over the past 110 kyr and its relationship to climate change. The GISP2 data set supports the inferences made from the Renland ice core from Greenland that the glacial atmosphere over Greenland had reduced concentrations of biogenic sulfur compared with the present day [Hansson and Saltzman, 1993]. We conclude that the flux of biogenic sulfur from the North Atlantic Ocean must have been lower during glacial times and speculate that this decrease may have been related to differences in phytoplankton speciation. The data suggest that changes in direct radiative forcing from biogenic sulfur aerosols would act as negative feedback to the glacial/interglacial climate cycles in this region.</t>
  </si>
  <si>
    <t>UNIV NEW HAMPSHIRE, INST STUDY EARTH OCEANS &amp; SPACE, GLACIAL RES GRP, CLIMATE CHANGE RES CTR, DURHAM, NH 03824 USA; UNIV MIAMI, ROSENSTIEL SCH MARINE &amp; ATMOSPHER SCI, COOPERAT INST MARINE &amp; ATMOSPHER SCI, MIAMI, FL 33149 USA</t>
  </si>
  <si>
    <t>University System Of New Hampshire; University of New Hampshire; University of Miami</t>
  </si>
  <si>
    <t>UNIV MIAMI, ROSENSTIEL SCH MARINE &amp; ATMOSPHER SCI, DIV MARINE &amp; ATMOSPHER SCI, MIAMI, FL 33149 USA.</t>
  </si>
  <si>
    <t>10.1029/97JC01377</t>
  </si>
  <si>
    <t>WOS:A1997YJ67100029</t>
  </si>
  <si>
    <t>Legrand, M; Hammer, C; DeAngelis, M; Savarino, J; Delmas, R; Clausen, H; Johnsen, SJ</t>
  </si>
  <si>
    <t>Sulfur-containing species (methanesulfonate and SO4) over the last climatic cycle in the Greenland Ice Core Project (central Greenland) ice core</t>
  </si>
  <si>
    <t>BIOGENIC SULFUR; NITRATE CONCENTRATIONS; ANTARCTIC ICE; SULFATE; RECORD; EMISSIONS; OCEAN; SNOW; ACID; DIMETHYLSULFIDE</t>
  </si>
  <si>
    <t>A high-resolution profile covering the last two centuries and a discontinuous study spanning the complete last glacial-interglacial cycle of methanesulfonate (MSA) (CH,SO,) and sulfate were obtained along Summit (central Greenland) ice cores. MSA concentrations were close to 4 +/- 1.4-ng g(-1) from 1770 to 1870 A.D. and 3 ng g(-1) in 1900, and exhibited a well-marked decreasing trend from 1945 to the present. These changes of Summit snow MSA concentrations between 1770 and 1945 are discussed in terms of possible modulation of dimethylsulfide (DMS) marine emissions influencing the Greenland Ice Sheet by past climatic fluctuations in these regions. The decrease of MSA levels in Summit snow layers deposited since 1945 suggests either a decline in marine biota at high northern latitudes or a changing yield of MSA from DMS oxidation driven by modification of the oxidative capacity of the atmosphere in response to increasing anthropogenic NO, and hydrocarbon emissions. While interglacial ice concentrations of MSA and sulfate are close to 2.9 +/- 1.9 ng g(-1) and 27 +/- 10 ng g(-1), respectively, reduced MSA (1.2 +/- 0.7 ng g(-1)) and enhanced sulfate (55 +/- 19 ng g(-1)) levels characterized the early Holocene stage (9000 to 11,000 years B.P.). MSA concentrations in glacial ice remain similar to the ones observed during interglacial stages. In contrast, sulfate levels are strongly enhanced (243 +/- 84 ng g(-1)) during the last glacial maximum (14,400 to 15,700 B.P.) compared with the interglacial ones. These variations of sulfur-containing species in response to past climatic conditions are similar to those found in other Greenland cores. In contrast, they are different from those revealed in the Antarctic Vostok ice core, where colder climates were associated with an increase by a factor of 5 and 2 in MSA and sulfate concentrations, respectively. These glacial-interglacial changes are discussed in terms of present and past contributions of marine DMS emissions versus other sulfate sources such as volcanic emissions and continental dust to the Greenland precipitation.</t>
  </si>
  <si>
    <t>UNIV COPENHAGEN,NIELS BOHR INST ANAT PHYS &amp; GEOPHYS,DEPT PHYS,DK-2200 COPENHAGEN,DENMARK; UNIV ICELAND,INST SCI,IS-107 REYKJAVIK,ICELAND</t>
  </si>
  <si>
    <t>University of Copenhagen; University of Iceland</t>
  </si>
  <si>
    <t>Legrand, M (corresponding author), UNIV GRENOBLE 1,LAB GLACIOL &amp; GEOPHYS ENVIRONM,CNRS,BP 96,F-38402 ST MARTIN DHER,FRANCE.</t>
  </si>
  <si>
    <t>Savarino, Joel/H-9730-2012; Legrand, Michel/AAU-4678-2020</t>
  </si>
  <si>
    <t>Savarino, Joel/0000-0002-6708-9623;</t>
  </si>
  <si>
    <t>10.1029/97JC01436</t>
  </si>
  <si>
    <t>WOS:A1997YJ67100031</t>
  </si>
  <si>
    <t>DeAngelis, M; Steffensen, JP; Legrand, M; Clausen, H; Hammer, C</t>
  </si>
  <si>
    <t>Primary aerosol (sea salt and soil dust) deposited in Greenland ice during the last climatic cycle: Comparison with east Antarctic records</t>
  </si>
  <si>
    <t>LONG-RANGE TRANSPORT; NORTH-ATLANTIC; SOUTH-POLE; HEINRICH EVENTS; CORE; DEGLACIATION; CHEMISTRY; SUMMIT; OCEAN; SNOW</t>
  </si>
  <si>
    <t>Ion chromatography data of Ca, Mg, Cl and Ca and Coulter(R) counter particle measurements are used to study the cycle of marine and continental primary aerosol reaching Greenland in relation to climatic changes over the last 150 kyr. A detailed comparison between Greenland (Dome Summit) and Antarctic (Vostok) records provides new insight on a potential link between northern and southern patterns. Ca is a good indicator of continental input and is mainly emitted as CaCO3. An attempt is made to estimate the contribution of aluminosilicates using the concentration of insoluble particles greater than 0.5 mu m in diameter. The relative abundance of non-sea-salt Mg and Ca and of aluminosilicate shows that the calcium content of continental background aerosol over Greenland was much higher during the glacial age. The neutralization capacity of carbonaceous aerosol is estimated. The inverse relationship between delta(18)O and continental input as well as the response of this input to the rapid climatic variations that have occurred during the second part of the glacial age are discussed in terms of source and transport modification in relation to the presence and the extent of the great Laurentide ice cap. The corresponding Vostok profiles strongly suggest that some of the phenomena observed at high northern latitudes are of global concern. The marine component of Na (Na-m) is a good tracer of sea-salt aerosol. Similarly to continental input, it shows an inverse but more linear relationship with delta(18)O. The sensitivity of Greenland and Antarctic marine input to climate variations of small and large amplitude is compared, and a corresponding estimation is made for the aeolian contribution. The respective influence of atmospheric circulation and the water vapor cycle is discussed. The chlorine to marine sodium weight ratio increases with temperature from values very close to the bulk seawater ratio during the last glacial maximum (18-20 kyr B.P.) to values significantly higher during the Holocene and warm Eemian. The corresponding excess of chloride (HCl) is discussed in terms of atmospheric transport, taking into account the role of atmospheric acidity on sea-salt fractionation processes. Owing to postdepositional phenomena, similar Vostok data must be considered cautiously. Nevertheless, aerosol fractionation seems to have been much more important over the Vostok site, except during glacial extrema.</t>
  </si>
  <si>
    <t>UNIV COPENHAGEN,GEOPHYS ISOTOPE LAB,DK-2200 COPENHAGEN,DENMARK</t>
  </si>
  <si>
    <t>University of Copenhagen</t>
  </si>
  <si>
    <t>DeAngelis, M (corresponding author), UNIV GRENOBLE 1,LAB GLACIOL &amp; GEOPHYS ENVIRONM,CNRS,BP 96,F-38402 ST MARTIN DHER,FRANCE.</t>
  </si>
  <si>
    <t>Legrand, Michel/AAU-4678-2020; Steffensen, Jorgen Peder/JFS-7831-2023</t>
  </si>
  <si>
    <t>Steffensen, Jorgen Peder/0000-0002-5516-1093</t>
  </si>
  <si>
    <t>10.1029/97JC01298</t>
  </si>
  <si>
    <t>WOS:A1997YJ67100032</t>
  </si>
  <si>
    <t>Finkel, RC; Nishiizumi, K</t>
  </si>
  <si>
    <t>Beryllium 10 concentrations in the Greenland Ice Sheet Project 2 ice core from 3-40 ka</t>
  </si>
  <si>
    <t>ATMOSPHERIC C-14; SOLAR MODULATION; TRACE-ELEMENTS; ANTARCTIC ICE; POLAR ICE; BE-10; DEPOSITION; RECORD; CALIBRATION; CLIMATE</t>
  </si>
  <si>
    <t>A nearly continuous record of Be-10 (half-life of 1.5 x 10(6) years) concentrations is reported in the Greenland Ice Sheet Project 2 (GISP2) ice core for the time period between 3288 and 40,055 years B.P. The resolution is between 20 and 50 years in the Holocene. During the Pleistocene, sampling was coarser, with the resolution ranging between 50 and 200 years. Both concentrations and fluxes are reported. Concentrations of Be-10 are observed to correlate strongly with delta(18)O and more weakly with snow accumulation rates. Beryllium 10 fluxes show less dependence than do concentrations on climate-related parameters. A good correlation exists between Delta(14)C and Be-10 for centennial scale variations, which are most likely due to heliomagnetic modulation of the lone production rate in the atmosphere. There is no evidence of a long-term geomagnetic effect on the Be-10 flux at GISP2. The interpretation of the record depends strongly on the model one uses to infer atmospheric Be-10 concentrations' from the measured concentrations in snow.</t>
  </si>
  <si>
    <t>LAWRENCE LIVERMORE NATL LAB,GEOSCI &amp; ENVIRONM TECHNOL DIV,LIVERMORE,CA 94550; UNIV CALIF BERKELEY,SPACE SCI LAB,BERKELEY,CA 94720</t>
  </si>
  <si>
    <t>United States Department of Energy (DOE); Lawrence Livermore National Laboratory; University of California System; University of California Berkeley</t>
  </si>
  <si>
    <t>Finkel, RC (corresponding author), LAWRENCE LIVERMORE NATL LAB,CTR ACCELERATOR MASS SPECTROMETRY,7000 E AVE,LIVERMORE,CA 94550, USA.</t>
  </si>
  <si>
    <t>10.1029/97JC01282</t>
  </si>
  <si>
    <t>WOS:A1997YJ67100033</t>
  </si>
  <si>
    <t>Yiou, F; Raisbeck, GM; Baumgartner, S; Beer, J; Hammer, C; Johnsen, S; Jouzel, J; Kubik, PW; Lestringuez, J; Stievenard, M; Suter, M; Yiou, P</t>
  </si>
  <si>
    <t>Beryllium 10 in the Greenland Ice Core Project ice core at Summit, Greenland</t>
  </si>
  <si>
    <t>ENHANCED BE-10 DEPOSITION; ANTARCTIC ICE; AMS FACILITY; GLACIAL PERIOD; CLIMATE; SEDIMENTS; RECORDS; CYCLE; CL-36</t>
  </si>
  <si>
    <t>Concentrations of the cosmogenic isotope Be-10 have been measured in more than 1350 samples from the Greenland Ice Core Project (GRIP) ice core drilled at Summit, Greenland. Although a dust-associated component of Be-10 retained by 0.45 mu m filters in some of the samples complicates the interpretations, the results confirm that the first-order origin of Be-10 concentration variations is changes in precipitation rate associated with different climate regimes. This effect is seen not only between glacial and interglacial periods, but also during the shorter ''Dansgaard-Oeschger'' interstadials. By contrast, the Be-10 data do not support the interpretation of rapidly varying accumulation (i.e., climate) during the last interglacial. They can, however, be used to help place limits on the origin of the ice in these events. After taking into account variable snow accumulation effects, variations in the Be-10 flux are observed, probably caused by solar and geomagnetic modulation, but possibly also by primary cosmic ray variations. The most dramatic is a Be-10 peak similar to 40,000 years ago, similar to that found in the Vostok ice core, thus permitting a very precise correlation between climate records from Arctic and Antarctic ice cores. The Cl-36/Be-10 ratio (considering either ''total'' or only ice-associated Be-10) shows significant variability over the whole core depth, thus confirming the difficulty in using this parameter for ''dating'' ice cores.</t>
  </si>
  <si>
    <t>EAWAG,CH-8600 DUBENDORF,SWITZERLAND; UNIV COPENHAGEN,DEPT GEOPHYS,DK-2100 COPENHAGEN,DENMARK; ETH HONGGERBERG,PAUL SCHERRER INST,CH-8093 ZURICH,SWITZERLAND; CNRS,INST NATL PHYS NUCL &amp; PHYS PARTICULES,CTR SPECTROMETRIE NUCL &amp; SPECTROMETRIE MASSE,F-91405 ORSAY,FRANCE; ETH HONGGERBERG,INST PARTICLE PHYS,CH-8093 ZURICH,SWITZERLAND; UNIV ICELAND,INST SCI,IS-107 REYKJAVIK,ICELAND</t>
  </si>
  <si>
    <t>Swiss Federal Institutes of Technology Domain; Swiss Federal Institute of Aquatic Science &amp; Technology (EAWAG); University of Copenhagen; Swiss Federal Institutes of Technology Domain; Paul Scherrer Institute; ETH Zurich; Centre National de la Recherche Scientifique (CNRS); Universite Paris Saclay; Swiss Federal Institutes of Technology Domain; ETH Zurich; University of Iceland</t>
  </si>
  <si>
    <t>10.1029/97JC01265</t>
  </si>
  <si>
    <t>WOS:A1997YJ67100040</t>
  </si>
  <si>
    <t>Dibb, JE; Jaffrezo, JL</t>
  </si>
  <si>
    <t>Air-snow exchange investigations at Summit, Greenland: An overview</t>
  </si>
  <si>
    <t>ICE-CORE; DRY DEPOSITION; ORGANIC-ACIDS; NORTH PACIFIC; ANTARCTIC ICE; POLAR FIRN; SHEET; ATMOSPHERE; AEROSOL; H2O2</t>
  </si>
  <si>
    <t>The Greenland Ice Sheet Project 2 (GISP2) and Greenland Ice Core Project (GRIP) deep drilling programs at Summit, Greenland included support (both logistical and scientific) of extensive investigation of atmospheric transport and air-snow exchange processes of gases and particles relevant to the interpretation of the ice-core records. Much of the sampling for the air-snow exchange investigations was conducted at a unique solar-powered camp 30 km southwest of the GISP2 drill camp (even further from the GRIP camp) and was characterized by a high degree of international collaboration and cooperation. The wide range of expertise and analytical capabilities of the 20-plus investigators participating in these studies has provided important insight into the meteorological, physical, and chemical processes which interact to determine the composition of snow and firn at Summit. Evolving understanding of this system will allow improved reconstruction of the composition of the atmosphere over Greenland in the past from the detailed Summit ice-core records. This Paper provides an overview of air-snow exchange investigations at Summit, including their development through the course of the drilling programs (1989-1993), significant findings related to both air-snow exchange issues and the present state of the Arctic free troposphere, as well as the major outstanding questions which are being addressed in ongoing experiments at Summit.</t>
  </si>
  <si>
    <t>LAB GLACIOL &amp; GEOPHYS ENVIRONM, F-38402 ST MARTIN DHERES, FRANCE</t>
  </si>
  <si>
    <t>UNIV NEW HAMPSHIRE, INST STUDY EARTH OCEANS &amp; SPACE, CLIMATE CHANGE RES CTR, GLACIER RES GRP, DURHAM, NH 03824 USA.</t>
  </si>
  <si>
    <t>jaffrezo, jean-luc/HIU-0016-2022</t>
  </si>
  <si>
    <t>10.1029/96JC02303</t>
  </si>
  <si>
    <t>WOS:A1997YJ67100041</t>
  </si>
  <si>
    <t>Nakamura, N; Ma, J</t>
  </si>
  <si>
    <t>Modified Lagrangian-mean diagnostics of the stratospheric polar vortices .2. Nitrous oxide and seasonal barrier migration in the cryogenic limb array etalon spectrometer and SKYHI general circulation model</t>
  </si>
  <si>
    <t>AIRCRAFT N2O MEASUREMENTS; BREAKING PLANETARY-WAVES; POTENTIAL VORTICITY; TRACE CONSTITUENTS; MIXING PROCESSES; VORTEX EDGE; TRANSPORT; CLIMATOLOGY; DYNAMICS; AIR</t>
  </si>
  <si>
    <t>The Lagrangian-mean transport and mixing properties associated with the life cycle of the stratospheric polar vortices are analyzed using nitrous oxide (N2O) as a tracer, both observed by the cryogenic limb array etalon spectrometer (CLAES) and simulated by the Geophysical Fluid Dynamics Laboratory SKYHI general circulation model. Based on the modified Lagrangian-mean (MLM) diagnostic formalism, the area equivalent latitude-potential temperature cross sections are constructed for the N2O mixing ratio and the squared equivalent length, a Lagrangian equivalence of the eddy diffusion coefficient K-yy. The robustness of the analysis is tested and confirmed by subsampling the SKYHI tracer field at a CLAES-equivalent resolution and comparing the result with the full-resolution analysis. The seasonal and interhemispheric variabilities of the MLM cross sections an examined in detail. Both CLAES and SKYHI identify two major barriers to horizontal mixing (minimal equivalent length) in both hemispheres: a perennial subtropical barrier and an annual polar barrier. The polar barrier splits from the subtropical barrier in fall: migrates poleward in winter, and disappears at the demise of the polar vortex. The barriers are in general collocated with st tracer edge (concentrated gradients), but larger gradients do not necessarily translate to a greater barrier. For example, at the Arctic vortex edge, where the tracer gradients are greater than at the Antarctic vortex edge, the barrier is actually weaker. A significant difference is found in the structure of the barriers between the two northern hemisphere winters examined.</t>
  </si>
  <si>
    <t>Nakamura, N (corresponding author), UNIV CHICAGO, DEPT GEOPHYS SCI, 5734 S ELLIS AVE, CHICAGO, IL 60637 USA.</t>
  </si>
  <si>
    <t>NOV 27</t>
  </si>
  <si>
    <t>D22</t>
  </si>
  <si>
    <t>10.1029/97JD02153</t>
  </si>
  <si>
    <t>YH593</t>
  </si>
  <si>
    <t>WOS:A1997YH59300003</t>
  </si>
  <si>
    <t>Poblet, A; Andrade, S; Scagliola, M; Vodopivez, C; Curtosi, A; Pucci, A; Marcovecchio, J</t>
  </si>
  <si>
    <t>The use of epilithic Antarctic lichens (Usnea aurantiacoatra and U-antartica) to determine deposition patterns of heavy metals in the Shetland Islands, Antarctica</t>
  </si>
  <si>
    <t>SCIENCE OF THE TOTAL ENVIRONMENT</t>
  </si>
  <si>
    <t>heavy-metal distribution; Antarctic; epilithic lichens; bioindicator</t>
  </si>
  <si>
    <t>PLANT</t>
  </si>
  <si>
    <t>Trace-metal contents were recorded for the epilithic antarctic lichens Usnea aurantiacoatra and U. antartica, sampled close to the Argentine scientific station 'Jubany' on '25 de Mayo' (King George) Island, in the Southern Shetland Archipelago (Antarctica). The corresponding heavy-metal levels have been measured through atomic absorption spectrophotometry, following internationally accepted analytical methods. The results obtained support the hypothesis that an atmospheric circulation of trace metals exists on the assessed area, and the activities developed at the different scientific stations located on this island would be a potential source of heavy metals to the evaluated environment. The geographical distribution of trace metals atmospherically transported in the area close to 'Jubany Station' was studied through the corresponding metal contents of the assessed lichens. Finally, the suitability of both analyzed lichen species, Usnea aurantiacoatra and U. antartica, as biological indicators for quantitative monitoring of airborne metals for this antarctic environment was recognized. (C) 1997 Elsevier Science B.V.</t>
  </si>
  <si>
    <t>Univ Mar del Plata, RA-7600 Mar Del Plata, Argentina; Inst Argentino Oceanog, Lab Quim Marina, RA-8000 Bahia Blanca, Argentina; OSSE, RA-7600 Mar Del Plata, Argentina; IAA, RA-1010 Buenos Aires, DF, Argentina</t>
  </si>
  <si>
    <t>National University of Mar del Plata</t>
  </si>
  <si>
    <t>Marcovecchio, J (corresponding author), Univ Mar del Plata, Funes 3350, RA-7600 Mar Del Plata, Argentina.</t>
  </si>
  <si>
    <t>Marcovecchio, Jorge/AAQ-3365-2020; Andrade, Santiago/F-8734-2014</t>
  </si>
  <si>
    <t>Andrade, Santiago/0000-0001-9632-6088</t>
  </si>
  <si>
    <t>0048-9697</t>
  </si>
  <si>
    <t>SCI TOTAL ENVIRON</t>
  </si>
  <si>
    <t>Sci. Total Environ.</t>
  </si>
  <si>
    <t>10.1016/S0048-9697(97)00265-9</t>
  </si>
  <si>
    <t>YP500</t>
  </si>
  <si>
    <t>WOS:000071283800012</t>
  </si>
  <si>
    <t>Paull, B; Macka, M; Haddad, PR</t>
  </si>
  <si>
    <t>Determination of calcium and magnesium in water samples by high-performance liquid chromatography on a graphitic stationary phase with a mobile phase containing o-cresolphthalein complexone</t>
  </si>
  <si>
    <t>JOURNAL OF CHROMATOGRAPHY A</t>
  </si>
  <si>
    <t>water analysis; mobile phase composition; calcium; magnesium; alkaline earth metals; cresolphthalein complexone; metal cations</t>
  </si>
  <si>
    <t>COLOR-FORMING AGENT; EARTH-METAL-CATIONS; CHELATION ION CHROMATOGRAPHY; ALKALINE-EARTH; EXCHANGE CHROMATOGRAPHY; SEPARATION; COMPONENT; COLUMN; FE</t>
  </si>
  <si>
    <t>A sensitive and selective liquid chromatographic procedure for the separation and visible detection of alkaline earth metals in complex saline matrices has been developed. A mobile phase containing the selective metallochromic chelating ligand, o-cresolphthalein complexone, was used to dynamically coat a pH tolerant reversed-phase porous graphitic carbon column. A dynamic chelating ion-exchange mechanism facilitated the separation of alkaline earth metals, which were detected using a spectrophotometric detector at 575 nm. Detection limits of 0.05 mg l(-1) for magnesium and 0.10 mg l(-1) for calcium were obtained in samples containing in excess of 2300 mg l(-1) of sodium, without interference. The procedure was applied to the determination of magnesium and calcium in a range of environmental waters, including saturated saline Antarctic lake samples, with the results comparing well to those achieved using capillary electrophoresis, atomic absorption spectroscopy, inductively coupled plasma mass spectrometry and standard complexometric titration methods. (C) 1997 Elsevier Science B.V.</t>
  </si>
  <si>
    <t>Paull, B (corresponding author), Univ Tasmania, Dept Chem, Separat Sci Grp, GPO 252-75, Hobart, Tas 7001, Australia.</t>
  </si>
  <si>
    <t>paull, brett/AAO-8366-2020; Macka, Miroslav/G-6553-2012</t>
  </si>
  <si>
    <t>paull, brett/0000-0001-6373-6582; Macka, Miroslav/0000-0002-6792-2574; Haddad, Paul/0000-0001-9579-7363</t>
  </si>
  <si>
    <t>0021-9673</t>
  </si>
  <si>
    <t>J CHROMATOGR A</t>
  </si>
  <si>
    <t>J. Chromatogr. A</t>
  </si>
  <si>
    <t>NOV 21</t>
  </si>
  <si>
    <t>10.1016/S0021-9673(97)00660-2</t>
  </si>
  <si>
    <t>YL148</t>
  </si>
  <si>
    <t>Green Accepted, Green Published</t>
  </si>
  <si>
    <t>WOS:000070924700030</t>
  </si>
  <si>
    <t>Tie, XX; Hess, P</t>
  </si>
  <si>
    <t>Ozone mass exchange between the stratosphere and troposphere for background and volcanic sulfate aerosol conditions</t>
  </si>
  <si>
    <t>GENERAL-CIRCULATION MODEL; HETEROGENEOUS CHEMISTRY; PINATUBO AEROSOL; MIDDLE ATMOSPHERE; WATER-VAPOR; RESIDUAL CIRCULATION; ANTARCTIC OZONE; MOUNT-PINATUBO; MT-PINATUBO; TRANSPORT</t>
  </si>
  <si>
    <t>A three-dimensional global chemical/dynamical model is used to study ozone mass exchange between the stratosphere and the troposphere. The ozone budget is calculated in the northern and southern extratropical lowermost stratosphere and in the tropical upper troposphere during both perturbed and background aerosol conditions. The stratospheric ozone mass flux into the troposphere is highest during the spring months in both hemispheres and higher in the northern hemisphere than in the southern hemisphere. During background aerosol conditions the net modeled stratospheric flux of ozone to the troposphere is 792 Tg/yr. The results suggest that the heterogeneous chemical reactions occurring on the surface of sulfate aerosols can have a significant impact on the ozone mass flux across the tropopause, leading to a possible 15% reduction in the annual global ozone mass transported from the stratosphere to the troposphere after a large volcanic eruption. Most of the reduction in ozone mass flux occurs in the northern hemisphere. In the southern hemisphere winter and spring the ozone concentration is already significantly perturbed by the heterogeneous reactions occurring on the surface of polar stratospheric clouds over Antarctica. The further increase in heterogeneous conversion due to the enhanced sulfate aerosol produces a smaller increase in active chlorine (ClO) than in the northern hemisphere, leading to a smaller increase in ozone destruction.</t>
  </si>
  <si>
    <t>NATL CTR ATMOSPHER RES, DIV ATMOSPHER CHEM, 1850 TABLE MESA DR, POB 3000, BOULDER, CO 80307 USA.</t>
  </si>
  <si>
    <t>hess, peter/M-3145-2015</t>
  </si>
  <si>
    <t>hess, peter/0000-0003-2439-3796</t>
  </si>
  <si>
    <t>NOV 20</t>
  </si>
  <si>
    <t>D21</t>
  </si>
  <si>
    <t>10.1029/97JD01842</t>
  </si>
  <si>
    <t>YH548</t>
  </si>
  <si>
    <t>WOS:A1997YH54800017</t>
  </si>
  <si>
    <t>Wareham, CD; Vaughan, APM; Millar, IL</t>
  </si>
  <si>
    <t>The Wiley Glacier complex, Antarctic Peninsula: pluton growth by pulsing of granitoid magmas</t>
  </si>
  <si>
    <t>Antarctic; arc; granitoid; dyke</t>
  </si>
  <si>
    <t>FLUID-ABSENT CONDITIONS; CONTINENTAL-CRUST; EXPERIMENTAL DEFORMATION; VOLCAN-OLLAGUE; PALMER LAND; SEGREGATION; EMPLACEMENT; ARC; AMPHIBOLITE; TRANSPORT</t>
  </si>
  <si>
    <t>Early Cretaceous gabbro, quartz-diorite-granodiorite, and tonalite-granodiorite plutons of the Wiley Glacier complex, in the Antarctic Peninsula magmatic are, were emplaced in a zone of syn-magmatic extensional shearing. The oldest component pluton is the Creswick Gap quartz-diorite-granodiorite pluton and this is cut by slightly younger hornblende gabbro of the Moore Point pluton. These plutons form the wall rock to the Burns Bluff tonalite-granodiorite pluton, the youngest component of the complex. The Burns Bluff pluton comprises tonalite-granodiorite sheets which, at the plutons margins, are interleaved with screens of mylonite wall rock. The Moore Point hornblende gabbro has epsilon Nd-141 of ca. +4 and epsilon Sr-141 of ca. +1. It is predominantly mantle in origin, although its parent magma assimilated some continental crust during emplacement. The Creswick Gap pluton has epsilon Nd-141 between ca. +4(quartz-diorite) and ca. -1(granodiorite) and epsilon Sr-141 from ca. -1(quartz-diorite) to ca. +22(granodiorite). This pluton contains both mantle and crustal components. We suggest that the quartz-diorite facies fractionated from a similar parent magma to that of the Moore Point gabbro, whilst the granodiorite fractionated from a gabbro-quartz-diorite magma during continued crustal assimilation. Geochemical variations within the Creswick Gap pluton cannot be generated by AFC models. Some of the granodiorite samples have chemical characteristics which typify partial melts of amphibole +/- garnet-bearing crust. We conclude that the pluton comprises fractionates of basaltic magma and crustal partial melt. The Burns Bluff tonalite-granodiorite sheets have epsilon Nd-141 between ca. +4 and ca. -2 and epsilon Sr-141 from ca. +5 to Ca. +31. Their isotopic and chemical compositions suggest that some are fractionates of basalt-gabbro magma, others are predominantly partial melts of amphibole +/- garnet-bearing crust, and some are mixtures of these two magma types. The chemical and isotopic compositions of the Burns Bluff plutons constituent tonalite sheets and its dyke-like internal structure suggest that it grew incrementally via the addition of melt batches from a variety of crustal and mantle sources. The growth of this pluton, via dyking, may reflect magma pulsing associated with transtensional movement along the Creswick Gap shear zone. Moreover, the Burns Bluff pluton may be a 'frozen' conduit system for structurally higher plutons in the Antarctic Peninsula batholith. (C) 1997 Elsevier Science B.V.</t>
  </si>
  <si>
    <t>British Antarctic Survey, Cambridge CB3 0ET, England; British Antarctic Survey, NERC, Isotope Geosci Lab, Nottingham NG12 5GG, England</t>
  </si>
  <si>
    <t>UK Research &amp; Innovation (UKRI); Natural Environment Research Council (NERC); NERC British Antarctic Survey; UK Research &amp; Innovation (UKRI); Natural Environment Research Council (NERC); NERC British Geological Survey; NERC British Antarctic Survey</t>
  </si>
  <si>
    <t>NOV 17</t>
  </si>
  <si>
    <t>10.1016/S0009-2541(97)00100-9</t>
  </si>
  <si>
    <t>YN060</t>
  </si>
  <si>
    <t>WOS:000071129100005</t>
  </si>
  <si>
    <t>Coy, L; Nash, ER; Newman, PA</t>
  </si>
  <si>
    <t>Meteorology of the polar vortex: Spring 1997</t>
  </si>
  <si>
    <t>STRATOSPHERE; OZONE; WINTER</t>
  </si>
  <si>
    <t>The 1996-1997 northern hemisphere spring polar vortex was very strong, cold, and symmetric, somewhat similar to those found in the Antarctic spring vortex. The vortex did not form until late in December and was very symmetric from February into late April. The spring vortex was characterized by record low temperatures, record low ozone amounts as measured from the Total Ozone Mapping Spectrometer (TOMS) instruments, and a wide band of strong winds in the lower stratosphere. Spring wave activity was greatly reduced, with 100 hPa February-March eddy heat fluxes that were lower by a factor of 2 from any previously observed values over the last 18 years.</t>
  </si>
  <si>
    <t>GEN SCI CORP,LAUREL,MD; SCI APPLICAT CORP,VIENNA,VA</t>
  </si>
  <si>
    <t>Coy, L (corresponding author), NASA,GODDARD SPACE FLIGHT CTR,CODE 916,GREENBELT,MD 20771, USA.</t>
  </si>
  <si>
    <t>; Newman, Paul A./D-6208-2012</t>
  </si>
  <si>
    <t>Coy, Lawrence/0000-0002-0414-0882; Newman, Paul A./0000-0003-1139-2508</t>
  </si>
  <si>
    <t>NOV 15</t>
  </si>
  <si>
    <t>10.1029/97GL52832</t>
  </si>
  <si>
    <t>YG509</t>
  </si>
  <si>
    <t>WOS:A1997YG50900002</t>
  </si>
  <si>
    <t>Pierce, RB; Fairlie, TD; Remsberg, EE; Russell, JM; Grose, WL</t>
  </si>
  <si>
    <t>HALOE observations of the Arctic vortex during the 1997 spring: Horizontal structure in the lower stratosphere</t>
  </si>
  <si>
    <t>ANTARCTIC STRATOSPHERE; OZONE LOSS; WINTER; DEPLETION</t>
  </si>
  <si>
    <t>In late March, 1997, HALOE observed very low ozone (less than 1 ppmv at 480K), low HCl, generally high NOx, and normal levels of H2O within the Arctic vortex. Trajectory mapping techniques show that the lower stratospheric Arctic vortex was locally chemically perturbed during this period. Regions of low HCl and low NOx mixing ratios found within the Arctic vortex indicate that partitioning within the odd chlorine family had been shifted from reservoir species to active species. Low O-3 mixing ratios within these regions strongly suggest that chlorine-catalyzed photochemical destruction of O-3 had recently taken place. Regions of low HCl and higher NOx mixing ratios are also observed within the Arctic vortex. Correlations of O-3, H2O, NOx, and HCl with HF are used to quantify the changes in these constituents during March and early April, 1997. Temporal changes in the correlation of HCl and NOx with HF indicate increases in these species. No trend in the correlations of H2O or O-3 with HF was found in the lower stratosphere.</t>
  </si>
  <si>
    <t>SCI &amp; TECHNOL CORP,HAMPTON,VA 23666; HAMPTON UNIV,DEPT PHYS,HAMPTON,VA 23666</t>
  </si>
  <si>
    <t>Hampton University</t>
  </si>
  <si>
    <t>Pierce, RB (corresponding author), NASA,LANGLEY RES CTR,MS 401B,HAMPTON,VA 23681, USA.</t>
  </si>
  <si>
    <t>Pierce, Robert Bradley/F-5609-2010; Pierce, R. Bradley/A-5990-2019</t>
  </si>
  <si>
    <t>Pierce, Robert Bradley/0000-0002-2767-1643;</t>
  </si>
  <si>
    <t>10.1029/97GL52833</t>
  </si>
  <si>
    <t>WOS:A1997YG50900004</t>
  </si>
  <si>
    <t>Fioletov, VE; Kerr, JB; Wardle, DI; Davies, J; Hare, EW; McElroy, CT; Tarasick, DW</t>
  </si>
  <si>
    <t>Long-term ozone decline over the Canadian Arctic to early 1997 from ground-based and balloon observations</t>
  </si>
  <si>
    <t>Column ozone measurements in the Canadian High Arctic (north of 70 degrees N) started in 1957 and there have been regular ozone sonde flights there since 1966. Column ozone values over the High Arctic were as much as 45% below normal for some days in March 1997. During March 1996 arctic ozone values were also very low. In both years, temperatures in the arctic stratosphere were extremely cold and, especially in 1997, the vortex wind pattern was unusual for the arctic and quite similar to the antarctic spring vortex. Similar cold stratospheric temperatures were present in 1967, but ozone deviations were much smaller. Despite the very low values in the High Arctic during March 1997, the average column ozone from three Canadian sites in the 50-60 degrees N latitude range was only 3.5% below normal.</t>
  </si>
  <si>
    <t>Fioletov, VE (corresponding author), ENVIRONM CANADA,4905 DUFFERIN ST,DOWNSVIEW,ON M3H 5T4,CANADA.</t>
  </si>
  <si>
    <t>Fioletov, Vitali/AAM-1044-2020; Tarasick, David Walter/IYS-7006-2023</t>
  </si>
  <si>
    <t>Fioletov, Vitali/0000-0002-2731-5956; Tarasick, David Walter/0000-0001-9869-0692</t>
  </si>
  <si>
    <t>10.1029/97GL52829</t>
  </si>
  <si>
    <t>WOS:A1997YG50900005</t>
  </si>
  <si>
    <t>Schodlok, MP; Tomczak, M</t>
  </si>
  <si>
    <t>The circulation south of Australia derived from an inverse model</t>
  </si>
  <si>
    <t>INDIAN-OCEAN; WATER</t>
  </si>
  <si>
    <t>An inverse model is used to determine circulation and volume transports in the Australian sector of the southern indian Ocean from observations during WOCE. Water movement in the upper 1000 m is westward along the continental slope and eastward in the Subantarctic Front (SAF). The Subtropical Front is not associated with continuous eastward flow: however, such flow appears to build up between 120 degrees E and 132 degrees E, where it dominates the region between 37 degrees S and 42 degrees S. Antarctic Intermediate Water is found to move from the Pacific into the Indian Ocean, except in the region of the SAF where it moves from the Indian to the Pacific Ocean. Circumpolar Deep Water exhibits weak flow which can only be reliably resolved in the upper part, where it is predominantly westward. Antarctic Bottom Water enters the Australian Basin through two depressions in the Australian-Antarctic Discordance at 125 degrees 37'E and at 126 degrees 30'E.</t>
  </si>
  <si>
    <t>Schodlok, MP (corresponding author), FLINDERS UNIV S AUSTRALIA,FLINDERS INST ATMOSPHER &amp; MARINE SCI,GPO BOX 2100,ADELAIDE,SA 5001,AUSTRALIA.</t>
  </si>
  <si>
    <t>Tomczak, Matthias/0000-0002-8416-5851</t>
  </si>
  <si>
    <t>10.1029/97GL02576</t>
  </si>
  <si>
    <t>WOS:A1997YG50900024</t>
  </si>
  <si>
    <t>Schodlok, MP; Tomczak, M; White, N</t>
  </si>
  <si>
    <t>Deep sections through the South Australian Basin and across the Australian-Antarctic Discordance</t>
  </si>
  <si>
    <t>INTERMEDIATE WATER; INDIAN-OCEAN; CIRCULATION</t>
  </si>
  <si>
    <t>Fronts and water masses in the Australian Basin are described, based on three sections made by RN Franklin during 1994 as part of the WOCE One-lime Hydrographic Survey. The Subtropical Front is found closer to the Australian continent than previously thought. Convection of Subantarctic Mode Water is seen to reach 700 m depth. A locally formed variety of Antarctic Intermediate Water with a temperature near 6 degrees C is found near 120 degrees E. Antarctic Bottom Water enters the Indian Ocean through the Discordance at 125 degrees 37'E and 127 degrees E but not at 120 degrees E, where the deep passage seen in the topography may be closed for Bottom Water inflow.</t>
  </si>
  <si>
    <t>CSIRO,DIV OCEANOG,HOBART,TAS 7001,AUSTRALIA</t>
  </si>
  <si>
    <t>White, Neil/B-2077-2013</t>
  </si>
  <si>
    <t>10.1029/97GL01929</t>
  </si>
  <si>
    <t>WOS:A1997YG50900025</t>
  </si>
  <si>
    <t>Talley, LD; Baringer, MO</t>
  </si>
  <si>
    <t>Preliminary results from WOCE hydrographic sections at 80 degrees E and 32 degrees S in the central Indian Ocean</t>
  </si>
  <si>
    <t>SOUTH</t>
  </si>
  <si>
    <t>The hydrographic properties and circulation along sections at 80 degrees E and 32 degrees S in March, 1995, in the Indian Ocean are described very briefly. A halocline was well-developed in the tropics. A westward coastal jet of fresh Bay of Bengal water was present at the sea surface at Sri Lanka with eastward flow of saline Arabian Sea water below. The Equatorial Undercurrent was well developed as were the deep equatorial jets. The Indonesian throughflow jet presented a large dynamic signature at 10 to 14 degrees S coinciding with a strong front in all properties to great depth. Its mid-depth salinity minimum is separated from that of the Antarctic Intermediate Water. The Subantarctic Mode Water of the southeastern Indian Ocean imparts its high oxygen ventilation signature to the whole of the transects, including the tropical portion. The deepest water in the Central Indian Basin is pooled in the center of the basin, and its principal source appears to be the sill at 11 degrees S through the Ninetyeast Ridge. Northward deep water transports across the 32 degrees S section were similar to those observed in 1987 but the deep water was lower in oxygen and fresher than in 1987. Upper ocean waters at 32 degrees S were more saline and warmer in 1995.</t>
  </si>
  <si>
    <t>NOAA,ATLANTIC OCEANOG &amp; METEOROL LAB,MIAMI,FL 33149</t>
  </si>
  <si>
    <t>National Oceanic Atmospheric Admin (NOAA) - USA; Atlantic Oceanographic &amp; Meteorological Laboratory (AOML)</t>
  </si>
  <si>
    <t>Talley, LD (corresponding author), SCRIPPS INST OCEANOG,LA JOLLA,CA 92093, USA.</t>
  </si>
  <si>
    <t>; Baringer, Molly/D-2277-2012</t>
  </si>
  <si>
    <t>Talley, Lynne/0000-0003-1574-729X; Baringer, Molly/0000-0002-8503-5194</t>
  </si>
  <si>
    <t>10.1029/97GL02657</t>
  </si>
  <si>
    <t>WOS:A1997YG50900026</t>
  </si>
  <si>
    <t>Tynan, CT</t>
  </si>
  <si>
    <t>Cetacean distributions and oceanographic features near the Kerguelen Plateau</t>
  </si>
  <si>
    <t>SOUTHERN-OCEAN; WATER MASSES; ZONE; IRON</t>
  </si>
  <si>
    <t>Cetacean surveys were conducted in the austral summer during World Ocean Circulation Experiment hydrolegs 18S and 19S in the southeastern Indian Ocean. The highest density of cetaceans occurred along the southern flank of the Kerguelen Plateau and northern edge of the Princess Elizabeth Trough, where the distribution of whales coincides with the mean positions of the Southern Front of the Antarctic Circumpolar Current (ACC) and southern water mass boundary (Southern Boundary) of the ACC. The topographic steerage of these features of the ACC around the southern edge of the Kerguelen Plateau brings shoaled, nutrient-rich Upper Circumpolar Deep Water (UCDW) to higher latitude than in adjacent basins. The higher concentrations of cetaceans near the Kerguelen Plateau suggests that whales benefit from a cascade of trophic dynamics associated with the poleward extent of UCDW, the marginal ice edge zone, and the proximity of several oceanographic features: the high latitude penetration and close alignment of the Southern Front and Southern Boundary of the ACC; the unique poleward extent of the Southern Boundary as it is topographically steered around the plateau; the entrainment of macronutrients into the surface mixed layer near the Southern Boundary; isopycnal shoaling in cyclonic eddies; the presence of complex bathymetry; and the advection of a tongue of ice northward along the eastern side of the plateau. The association between these concurrent oceanographic features and whales suggests that the southeastern edge of the Kerguelen Plateau is a predictably productive foraging location for cetaceans and their prey.</t>
  </si>
  <si>
    <t>NOAA,NATL RES COUNCIL,NATL MARINE MAMMAL LAB,ALASKAN FISHERIES SCI CTR,SEATTLE,WA 98115</t>
  </si>
  <si>
    <t>National Oceanic Atmospheric Admin (NOAA) - USA; National Academies of Sciences, Engineering &amp; Medicine</t>
  </si>
  <si>
    <t>10.1029/97GL02860</t>
  </si>
  <si>
    <t>WOS:A1997YG50900027</t>
  </si>
  <si>
    <t>Hufford, GE; McCartney, MS; Donohue, KA</t>
  </si>
  <si>
    <t>Northern boundary currents and adjacent recirculations off southwestern Australia</t>
  </si>
  <si>
    <t>WORLD OCEAN CIRCULATION; WIND-DRIVEN; MODEL; DEEP</t>
  </si>
  <si>
    <t>Full-depth hydrographic and velocity measurements along 115 degrees E south of Australia (WHP section I9S) reveal an active northern boundary current regime within 200 - 300 km of the Australian continental shelf and an offshore recirculation regime within the South Australian Basin. In the upper ocean an oft-described westward-flowing northern boundary current, the Flinders Current, extends through the thermocline and the salinity minimum strata of Antarctic Intermediate Water, with an opposing eastward recirculation to its south. The new data shows that beneath the Flinders Current, an eastward-flowing deep northern boundary current transports water of subtropical Indian Ocean origin supplied by southward deep now along the western continental slope of Australia in the Perth Basin. Between these northern boundary currents and the Antarctic Circumpolar Current, thermocline and deep geostrophic shears indicate weak recirculations, eastward at thermocline levels and westward in the deep water. Lowered Acoustic Doppler current profiler data reveal stronger organized recirculations to both the Flinders Current and the deep northern boundary current. with the westward deep recirculation exceeding the eastward transport of the deep northern boundary current and thus representing a net supply of deep water to the Perth Basin.</t>
  </si>
  <si>
    <t>UNIV HAWAII,SCH OCEAN &amp; EARTH SCI &amp; TECHNOL,HONOLULU,HI 96822</t>
  </si>
  <si>
    <t>Hufford, GE (corresponding author), WOODS HOLE OCEANOG INST,DEPT PHYS OCEANOG,WOODS HOLE,MA 02543, USA.</t>
  </si>
  <si>
    <t>McCartney, Michael/A-3922-2009</t>
  </si>
  <si>
    <t>McCartney, Michael/0000-0002-3413-7166</t>
  </si>
  <si>
    <t>10.1029/97GL02278</t>
  </si>
  <si>
    <t>WOS:A1997YG50900028</t>
  </si>
  <si>
    <t>Claustre, H; Moline, MA; Prezelin, BB</t>
  </si>
  <si>
    <t>Sources of variability in the column photosynthetic cross section for Antarctic coastal waters</t>
  </si>
  <si>
    <t>SOUTHERN-OCEAN; MARINE-PHYTOPLANKTON; QUANTUM YIELD; CONTINENTAL-SHELF; OZONE DEPLETION; SEA; LIGHT; TEMPERATURE; MODEL; COLOR</t>
  </si>
  <si>
    <t>Using a highly resolved Long Term Ecological Research (LTER) database collected near Palmer Station, Antarctica, from 1991 to 1994, the variability in the column photosynthetic cross section (Psi*, m(2) g Chl a(-1)) was analyzed. The relationship between the daily integrated primary production rates versus the product of surface irradiance (Q(PAR)(O-2(+)) and the integrated chlorophyll content (down to 0.1% Q(PAR)(0(+)) gave a Psi* value of 0.0695 m(2) g Chl a(-1) (r(2) = 0.85, p &lt; 0.001, n = 151) which is similar to those determined for temperate and tropical seas. However, the average value of single Psi* estimates is higher (0.109 +/- 0.075 m(2) g Chl a(-1)) with extreme values extending over a fiftyfold range (0.009-0.488 m g Chi a(-1)). The possible drivers of this variability are analyzed in detail, considering variables which are presently used in biooptical models (e.g., surface irradiance and chlorophyll content) and those which are not (taxonomic composition). A sixfold variation in Psi* was observed with time of year and strongly associated with the high seasonality in incident irradiance characteristic of these polar sampling sites. Variability in daily incident irradiance as influenced by cloudiness and variation in chlorophyll content were responsible for an additional twofold variation in Psi*. Finally, the taxonomic dependency of Psi* was demonstrated for the first time. For identical chlorophyll content and surface irradiance, mean Psi* values of 0.114 +/- 0.051 m(2) g Chl a(-1) were recorded for diatom blooms and 0.053 +/- 0.011 m(2) g Chi a(-1) for cryptophyte-dominated populations. Results illustrate the validity of Psi*-based approaches for estimating primary production for the Southern Ocean but emphasize the need to address taxon-specific photophysiology to better estimate primary production on smaller spatio-temporal scales.</t>
  </si>
  <si>
    <t>INSU, CNRS, PHYS &amp; CHIM MARINES LAB, F-06230 VILLEFRANCHE SUR MER, FRANCE</t>
  </si>
  <si>
    <t>Centre National de la Recherche Scientifique (CNRS); CNRS - National Institute for Earth Sciences &amp; Astronomy (INSU)</t>
  </si>
  <si>
    <t>UNIV CALIF SANTA BARBARA, DEPT ECOL EVOLUT &amp; MARINE BIOL, SANTA BARBARA, CA 93106 USA.</t>
  </si>
  <si>
    <t>CLAUSTRE, Herve/E-6877-2011; Claustre, Herve/JPL-2367-2023</t>
  </si>
  <si>
    <t>CLAUSTRE, Herve/0000-0001-6243-0258;</t>
  </si>
  <si>
    <t>C11</t>
  </si>
  <si>
    <t>10.1029/96JC02439</t>
  </si>
  <si>
    <t>YG654</t>
  </si>
  <si>
    <t>WOS:A1997YG65400008</t>
  </si>
  <si>
    <t>Beu, AG; Griffin, M; Maxwell, PA</t>
  </si>
  <si>
    <t>Opening of Drake Passage gateway and Late Miocene to Pleistocene cooling reflected in Southern Ocean molluscan dispersal: evidence from New Zealand and Argentina</t>
  </si>
  <si>
    <t>VIth International Congress on Pacific Neogene Stratigraphy / Oji Seminar for IGCP Project No 355 on Neogene Evolution of Pacific Ocean Gateways</t>
  </si>
  <si>
    <t>JUL 02-09, 1995</t>
  </si>
  <si>
    <t>SERPONG, INDONESIA</t>
  </si>
  <si>
    <t>Drake Passage gateway; Mollusca; dispersal; circulation; Antarctica</t>
  </si>
  <si>
    <t>SOUTHWESTERN PATAGONIA; BIOGEOGRAPHY</t>
  </si>
  <si>
    <t>Thirty-two benthic marine molluscan genus-group taxa are newly recognised as common to New Zealand and Argentina. Previously suggested examples, including Panis, Athlopecten, Austrovenus, large Cirostrema, Lucinoma, Aulacomya and Zygochlamys, are confirmed from new collections. The total of 46 Cenozoic dispersed taxa now recognised falls into four main groups: (a) Oligocene-Early Miocene dispersals from South America to New Zealand (8 taxa); (b) Oligocene-Early Miocene dispersals from New Zealand to South America (22); (c) Latest Miocene-Pliocene dispersals from South America to New Zealand (9); and (d) Pleistocene-Holocene dispersals from South America to New Zealand (at least 7 taxa). Dispersal seems to have occurred in bursts both to and from South America when the Antarctic Circumpolar Current (ACC) initiated, i.e., when Drake Passage opened, late in the Oligocene, while dispersal from South America to New Zealand, only, seems to have occurred again at two later times, (1) during the latest Miocene-Pliocene enhancement of ACC circulation caused by the initiation of West Antarctic glaciation, and (2) during Pleistocene glaciations. However, the incompleteness of the Argentinian record exaggerates the size of the initial burst, and allows no assessment of post-Middle Miocene dispersal to South America. Formation of the ACC through the opening of a passage south of Australia at ca. 43-40 Ma and of Drake Passage at ca. 23 Ma not only led to the glaciation of Antarctica, but also greatly altered Southern Ocean biogeography.</t>
  </si>
  <si>
    <t>MUSEO LA PLATA, RA-1900 LA PLATA, ARGENTINA</t>
  </si>
  <si>
    <t>Beu, AG (corresponding author), INST GEOL &amp; NUCL SCI, POB 30368, LOWER HUTT, NEW ZEALAND.</t>
  </si>
  <si>
    <t>1879-3266</t>
  </si>
  <si>
    <t>10.1016/S0040-1951(97)00160-1</t>
  </si>
  <si>
    <t>YK787</t>
  </si>
  <si>
    <t>WOS:A1997YK78700007</t>
  </si>
  <si>
    <t>Geli, L; Bougault, H; Aslanian, D; Briais, A; Dosso, L; Etoubleau, J; LeFormal, JP; Maia, M; Ondreas, H; Olivet, JL; Richardson, C; Sayanagi, K; Seama, N; Shah, A; Vlastelic, I; Yamamoto, M</t>
  </si>
  <si>
    <t>Evolution of the Pacific-Antarctic Ridge south of the Udintsev fracture zone</t>
  </si>
  <si>
    <t>MIDOCEAN RIDGES; PLATE MOTIONS</t>
  </si>
  <si>
    <t>Because of the proximity of the Euler poles of rotation of the Pacific and Antarctic plates, small variations in plate kinematics are fully recorded in the axial morphology and in the geometry of the Pacific-Antarctic Ridge south of the Udintsev fracture zone. Swath bathymetry and magnetic data show that clockwise rotations of the relative motion between the Pacific and Antarctic plates over the last 6 million years resulted in rift propagation or in the linkage of ridge segments, with transitions from transform faults to giant overlapping spreading centers. This bimodal axial rearrangement has propagated southward for the last 30 to 35 million years, leaving trails on the sea floor along a 1000-kilometer-long V-shaped structure south of the Udintsev fracture zone.</t>
  </si>
  <si>
    <t>UNIV CAMBRIDGE, BULLARD LABS, CAMBRIDGE CB3 0EZ, ENGLAND; OBSERV MIDI PYRENEES, F-31055 TOULOUSE, FRANCE; UNIV BRETAGNE OCCIDENTALE, F-29285 BREST, FRANCE; GEOL SURVEY JAPAN, TSUKUBA, IBARAKI 305, JAPAN; CHIBA UNIV, CHIBA, JAPAN; SEATTLE UNIV, SCH OCEANOG, SEATTLE, WA 98195 USA</t>
  </si>
  <si>
    <t>University of Cambridge; Universite de Toulouse; Universite Toulouse III - Paul Sabatier; Universite de Bretagne Occidentale; Chiba University; Seattle University</t>
  </si>
  <si>
    <t>Geli, L (corresponding author), IFREMER, CNRS, BOITE POSTALE 70, F-29280 PLOUZANE, FRANCE.</t>
  </si>
  <si>
    <t>Dosso, Laure/A-9520-2009; Maia, Marcia/A-7076-2010; Richardson, Chris/D-1656-2009; Aslanian, Daniel/JWA-0851-2024; Briais, Anne/I-1492-2017</t>
  </si>
  <si>
    <t>Aslanian, Daniel/0000-0002-9394-606X; Briais, Anne/0000-0002-0040-6348; Seama, Nobukazu/0009-0001-6626-2666; Geli, Louis/0000-0001-7049-4577</t>
  </si>
  <si>
    <t>NOV 14</t>
  </si>
  <si>
    <t>10.1126/science.278.5341.1281</t>
  </si>
  <si>
    <t>YG043</t>
  </si>
  <si>
    <t>WOS:A1997YG04300042</t>
  </si>
  <si>
    <t>Pockley, P</t>
  </si>
  <si>
    <t>Australia urged to revise Antarctic efforts</t>
  </si>
  <si>
    <t>News Item</t>
  </si>
  <si>
    <t>NOV 13</t>
  </si>
  <si>
    <t>10.1038/36418</t>
  </si>
  <si>
    <t>YF494</t>
  </si>
  <si>
    <t>WOS:A1997YF49400014</t>
  </si>
  <si>
    <t>Stone, R</t>
  </si>
  <si>
    <t>Geology - Storm aborts Antarctic drilling project</t>
  </si>
  <si>
    <t>1200 NEW YORK AVE, NW, WASHINGTON, DC 20005</t>
  </si>
  <si>
    <t>NOV 7</t>
  </si>
  <si>
    <t>YE652</t>
  </si>
  <si>
    <t>WOS:A1997YE65200012</t>
  </si>
  <si>
    <t>Cavalieri, DJ; Gloersen, P; Parkinson, CL; Comiso, JC; Zwally, HJ</t>
  </si>
  <si>
    <t>Observed hemispheric asymmetry in global sea ice changes</t>
  </si>
  <si>
    <t>OCEAN-ATMOSPHERE MODEL; CARBON-DIOXIDE; TEMPERATURE; VARIABILITY; CO2</t>
  </si>
  <si>
    <t>From November 1978 through December 1996, the areal extent of sea ice decreased by 2.9 +/- 0.4 percent per decade in the Arctic and increased by 1.3 +/- 0.2 percent per decade in the Antarctic, The observed hemispheric asymmetry in these trends is consistent with a modeled response to a carbon dioxide-induced climate warming. The interannual variations, which are 2.3 percent of the annual mean in the Arctic, with a predominant period of about 5 years, and 3.4 percent of the annual mean in the Antarctic, with a predominant period of about 3 years, are uncorrelated.</t>
  </si>
  <si>
    <t>Cavalieri, DJ (corresponding author), NASA,GODDARD SPACE FLIGHT CTR,LAB HYDROSPHER PROC,CODE 971,GREENBELT,MD 20771, USA.</t>
  </si>
  <si>
    <t>Parkinson, Claire L/E-1747-2012; Parkinson, Claire/JAC-7676-2023</t>
  </si>
  <si>
    <t>Parkinson, Claire L/0000-0001-6730-4197; Parkinson, Claire/0000-0001-6730-4197</t>
  </si>
  <si>
    <t>10.1126/science.278.5340.1104</t>
  </si>
  <si>
    <t>WOS:A1997YE65200045</t>
  </si>
  <si>
    <t>Laursen, GA; Treu, R; Seppelt, RD; Stephenson, SL</t>
  </si>
  <si>
    <t>Mycorrhizal assessment of vascular plants from subantarctic Macquarie Island</t>
  </si>
  <si>
    <t>ARCTIC AND ALPINE RESEARCH</t>
  </si>
  <si>
    <t>COMMUNITIES; ECOSYSTEMS; ANTARCTICA; CANADA; ALASKA</t>
  </si>
  <si>
    <t>Roots of 40 taxa of vascular plants from subantarctic Macquarie Island were examined to determine their mycorrhizal status. Samples comprised 36 flowering plant taxa (Spermatophyta) from 16 families, and 4 nonflowering plant taxa (Pteridophyta) from 4 families. No arbutoid, ericoid, or ectomycorrhizae were observed, nor did we collect the fruiting bodies of any fungi whose presence would indicate or suggest the presence of ectomycorrhizal associations. Fifteen of the plants examined showed vesicles, but vesicles and arbuscles were observed in only three plants: Hydrocotyle novae-zeelandiae (Apiaceae), Pleurophyllum hookeri (Asteraceae), and Acaena magellanica (Rosaceae). Dark septate fungi were observed in the roots of 21 plant species. The one species of orchid found on the island, Corybas dienemus, showed typical orchid mycorrhizae.</t>
  </si>
  <si>
    <t>INT MYCOL INST,EGHAM TW20 9TY,SURREY,ENGLAND; AUSTRALIAN ANTARCTIC DIV,KINGSTON,TAS 7050,AUSTRALIA; FAIRMONT STATE COLL,DEPT BIOL,DIV SCI &amp; MATH,FAIRMONT,WV 26554</t>
  </si>
  <si>
    <t>Laursen, GA (corresponding author), UNIV ALASKA,INST ARCTIC BIOL,FAIRBANKS,AK 99775, USA.</t>
  </si>
  <si>
    <t>INST ARCTIC ALPINE RES</t>
  </si>
  <si>
    <t>UNIV COLORADO, BOULDER, CO 80309</t>
  </si>
  <si>
    <t>0004-0851</t>
  </si>
  <si>
    <t>ARCTIC ALPINE RES</t>
  </si>
  <si>
    <t>Arct. Alp. Res.</t>
  </si>
  <si>
    <t>NOV</t>
  </si>
  <si>
    <t>10.2307/1551996</t>
  </si>
  <si>
    <t>Environmental Sciences; Geography</t>
  </si>
  <si>
    <t>Environmental Sciences &amp; Ecology; Geography</t>
  </si>
  <si>
    <t>YL520</t>
  </si>
  <si>
    <t>WOS:A1997YL52000012</t>
  </si>
  <si>
    <t>Clarkson, TS; Martin, RJ; Rudolph, J</t>
  </si>
  <si>
    <t>Ethane and propane in the Southern marine troposphere</t>
  </si>
  <si>
    <t>non-methane hydrocarbons; Southern Hemisphere</t>
  </si>
  <si>
    <t>LIGHT NONMETHANE HYDROCARBONS; C2-C5 HYDROCARBONS; ANTARCTIC TROPOSPHERE; TRACE GASES; NEW-ZEALAND; ATMOSPHERE; ATLANTIC; DISTRIBUTIONS; CHEMISTRY; METHANE</t>
  </si>
  <si>
    <t>Nearly 500 measurements of the ethane and propane mixing ratios have been made in clean marine air at Baring Head (New Zealand) and Scott Base (Antarctica) between 1991 and 1996. The annual averages of the mixing ratios (285 and 40 ppt) are lower than previously reported for the Southern Hemisphere. A striking feature of the seasonal cycle is the abrupt drop in mixing ratios of both compounds around November and a corresponding increase in the ethane/propane ratio (from about 7 in winter to &gt;10 in summer), suggesting a sharp decrease in Southern Hemisphere sources (e.g. biomass burning or fossil gas emissions) of these compounds in the spring. From a simple budget estimate it is concluded that biomass burning is most likely the dominant source of ethane and propane in the Southern Hemisphere. The seasonal variability of the emissions which are required to balance the Southern Hemisphere propane budget agrees very well with the seasonality derived for ethane emissions in a previous study. (C) 1997. Published by Elsevier Science Ltd.</t>
  </si>
  <si>
    <t>FORSCHUNGSZENTRUM JULICH, FORSCHUNGSZENTRUM, INST ATMOSPHAR CHEM, D-52429 JULICH, GERMANY</t>
  </si>
  <si>
    <t>Helmholtz Association; Research Center Julich</t>
  </si>
  <si>
    <t>Clarkson, TS (corresponding author), NATL INST WATER &amp; ATMOSPHER RES LTD, POB 14901, WELLINGTON, NEW ZEALAND.</t>
  </si>
  <si>
    <t>10.1016/S1352-2310(97)00220-3</t>
  </si>
  <si>
    <t>XX495</t>
  </si>
  <si>
    <t>WOS:A1997XX49500009</t>
  </si>
  <si>
    <t>Pugh, PJA</t>
  </si>
  <si>
    <t>Spiracle structure in ticks (Ixodida: Anactinotrichida: Arachnida): Resume, taxonomic and functional significance</t>
  </si>
  <si>
    <t>BIOLOGICAL REVIEWS</t>
  </si>
  <si>
    <t>Anactinotrichida; Arachnida; cladistics; functional morphology; Ixodida; phylogeny; respiration, spiracles, ticks, tracheae</t>
  </si>
  <si>
    <t>PASSIVE DIFFUSION BARRIER; RESPIRATORY SYSTEM; SURFACE-MORPHOLOGY; SOFT-TICK; ACARI; ARGASIDAE; METASTIGMATA; IXODOIDEA; MESOSTIGMATA; ARBOREUS</t>
  </si>
  <si>
    <t>Spiracle and tracheal structure in the extant Ixodida is revised and shown to comprise 29 distinct component characters, some of which are common to all Anactinotrichida, while others are unique to the Ixodida or one of its six component clades of ((Argasidae Nuttalliellidae) (Prostriata Metastriata)). Structural variation both between and within families is based upon combinations of minor differences in the component characters, only one of which, spiracular position, proved to be incongruent within the most parsimonious cluster-and tree-analysis solutions. Tracheal airflow in ticks is mediated via passive diffusion gradients. In the argasid spiracle, both aeropyles and ostium are functional, although the latter is only opened briefly during infrequent periods of activity. The ixodid ostium is sealed and all gas exchange takes place via an enlarged sieveplate which reduces transpiration via small aeropyles, an underlying dense array of pedicels and possibly hygroscopic sub-atrial glands. Changes in spiracular morphology from a more 'ancestral' argasid type to a more 'derived' ixodid type are correlated with changes in tick behaviour, particularly with increased activity associated with the change from nidicoly to host-seeking.</t>
  </si>
  <si>
    <t>Pugh, PJA (corresponding author), BRITISH ANTARCTIC SURVEY, NERC, HIGH CROSS, MADINGLEY RD, CAMBRIDGE CB3 0ET, ENGLAND.</t>
  </si>
  <si>
    <t>1464-7931</t>
  </si>
  <si>
    <t>1469-185X</t>
  </si>
  <si>
    <t>BIOL REV</t>
  </si>
  <si>
    <t>Biol. Rev.</t>
  </si>
  <si>
    <t>10.1017/S0006323197005094</t>
  </si>
  <si>
    <t>YH561</t>
  </si>
  <si>
    <t>WOS:A1997YH56100003</t>
  </si>
  <si>
    <t>Gardiner, KJ; Hall, AJ</t>
  </si>
  <si>
    <t>Diel and annual variation in plasma cortisol concentrations among wild and captive harbor seals (Phoca vitulina)</t>
  </si>
  <si>
    <t>STRESS RESPONSE; TURSIOPS-TRUNCATUS; SALIVARY CORTISOL; CIRCADIAN-RHYTHM; WEDDELL SEALS; COMMON SEAL; AGE; MELATONIN; SHEEP; SEX</t>
  </si>
  <si>
    <t>Annual and diel changes in plasma cortisol concentrations were investigated among wild and captive harbor seals (Phoca vitulina) of various sex and age classes. No significant effects of age, sex, or season were found in captive animals. However, significant inter-individual differences between two juvenile males were noted during both the breeding/molt (p = 0.041) and postbreeding/postmolt (p = 0.001) seasons. Seasonal and sex- and age-related differences were found among wild harbor seals. Across all sex and age categories, mean cortisol concentrations during the postbreeding and prebreeding seasons were significantly different from those measured during the breeding season (p = 0.014 and p = 0.038, respectively), but did not differ from each other. When each sex and age group was examined separately, seasonal effects were significant for mature females (p = 0.009) and mature males (p = 0.048). Differences in plasma cortisol concentration between captive and wild animals of the same sex during the same seasons were highly significant, particularly in mature animals (between p &lt; 0.0001 and p = 0.035). There was a diel pattern of plasma cortisol concentrations in samples collected from captive animals over a 24-h period. Mean concentrations differed between samples collected during the hours of light and dark, being highest at night (p = 0.009), peaking around 01:00, and dropping again at around 13:00. Annual and diel patterns of plasma cortisol concentrations occur in harbor seals, and seasonal differences may relate to important physiological and behavioral phases in the harbor seals' annual cycle.</t>
  </si>
  <si>
    <t>Univ St Andrews, Gatty Marine Lab, Sea Mammal Res Unit, St Andrews KY16 8LB, Fife, Scotland; British Antarctic Survey, Cambridge CB3 0ET, England; Univ Aberdeen, Dept Zool, Aberdeen AB23 2TN, Scotland</t>
  </si>
  <si>
    <t>University of St Andrews; UK Research &amp; Innovation (UKRI); Natural Environment Research Council (NERC); NERC British Antarctic Survey; University of Aberdeen</t>
  </si>
  <si>
    <t>Hall, AJ (corresponding author), Univ St Andrews, Gatty Marine Lab, Sea Mammal Res Unit, St Andrews KY16 8LB, Fife, Scotland.</t>
  </si>
  <si>
    <t>a.hall@smru.ac.uk</t>
  </si>
  <si>
    <t>Hall, Ailsa J/E-1596-2011</t>
  </si>
  <si>
    <t>Hall, Ailsa/0000-0002-7562-1771</t>
  </si>
  <si>
    <t>CANADIAN SCIENCE PUBLISHING, NRC RESEARCH PRESS</t>
  </si>
  <si>
    <t>1200 MONTREAL ROAD, BUILDING M-55, OTTAWA, ON K1A 0R6, CANADA</t>
  </si>
  <si>
    <t>1480-3283</t>
  </si>
  <si>
    <t>10.1139/z97-806</t>
  </si>
  <si>
    <t>YL374</t>
  </si>
  <si>
    <t>WOS:000070948200003</t>
  </si>
  <si>
    <t>Burns, JM; Schreer, JF; Castellini, MA</t>
  </si>
  <si>
    <t>Physiological effects on dive patterns and foraging strategies in yearling Weddell seals (Leptonychotes weddellii)</t>
  </si>
  <si>
    <t>NORTHERN ELEPHANT SEALS; ANTARCTIC FUR SEALS; DIVING BEHAVIOR; HALICHOERUS-GRYPUS; MIROUNGA-LEONINA; MOVEMENTS; PUPS; DETERMINANTS; METABOLISM; FEMALES</t>
  </si>
  <si>
    <t>Fifteen yearling Weddell seals (Leptomychotes weddellii) were captured, measured, weighed, bled, equipped with time-depth recorders, and released to determine if diving behavior was related to physical condition. Upon recovery of the time-depth recorders, dives were classified into four types based on shape, using cluster analysis. Based on maximum depth, two groups were further subdivided, for a total of seven types. The mean and maximal dive depth, duration, and frequency were determined for each yearling for all dive types combined and for each type separately. Stepwise regression and ANOVA techniques were used to test the relationship between diving behavior and physiological and morphometric measurements. In general, half of the variation in the pooled diving behavior could be explained by body-size differences. Larger yearlings made longer and shallower dives than smaller yearlings. Dive patterns suggested that large yearlings foraged primarily on small shallow-water prey items, while small yearlings concentrated on energy-dense deep-water prey. However, the interpretation of diving behavior, foraging locations, and diet that resulted from separating individuals and dive types was very different from that based on average diving behavior. This argues against ignoring variation among individuals and using only average diving behavior when describing marine mammal dive patterns.</t>
  </si>
  <si>
    <t>Univ Alaska, Inst Marine Sci, Fairbanks, AK 99775 USA; Univ Waterloo, Dept Biol, Waterloo, ON N2L 3G1, Canada</t>
  </si>
  <si>
    <t>University of Alaska System; University of Alaska Fairbanks; University of Waterloo</t>
  </si>
  <si>
    <t>Burns, JM (corresponding author), Univ Calif Santa Cruz, Dept Biol, Santa Cruz, CA 95064 USA.</t>
  </si>
  <si>
    <t>Burns, Jennifer M/C-4159-2013; Burns, Jennifer/AAC-8243-2019</t>
  </si>
  <si>
    <t>Burns, Jennifer/0000-0001-9652-2943; Castellini, Michael/0000-0003-0396-1045</t>
  </si>
  <si>
    <t>10.1139/z97-809</t>
  </si>
  <si>
    <t>WOS:000070948200006</t>
  </si>
  <si>
    <t>Feller, G; Arpigny, JL; Narinx, E; Gerday, C</t>
  </si>
  <si>
    <t>Molecular adaptations of enzymes from psychrophilic organisms</t>
  </si>
  <si>
    <t>psychrophile; thermophile; microbial proteins; protein stability; homology modelling; weak interactions; Antarctic</t>
  </si>
  <si>
    <t>ALPHA-AMYLASE; D-GLYCERALDEHYDE-3-PHOSPHATE DEHYDROGENASE; TEMPERATURE ADAPTATION; NUCLEOTIDE-SEQUENCE; ANTARCTIC BACTERIA; PROTEIN STABILITY; CRYSTAL-STRUCTURE; 1.4-A RESOLUTION; COLD ADAPTATION; HEAT-STABILITY</t>
  </si>
  <si>
    <t>The dominating adaptative character of enzymes from cold-evolving organisms is their high turnover number (k(cat)) and catalytic efficiency (k(cat)/K-m), which compensate for the reduction of chemical reaction rates inherent to low temperatures. This optimization of the catalytic parameters can originate from the highly flexible structure of these proteins providing enhanced abilities to undergo conformational changes during catalysis at low temperatures. Molecular modelling of the 3-D structure of cold-adapted enzymes reveals that only subtle modifications of their conformation can be related to the structural flexibility. The observed structural features include: 1) the reduction of the number of weak interactions involved in the folded state stability like salt bridges, weakly polar interactions between aromatic side chains, hydrogen bonding, arginine content and charge-dipole interactions in alpha-helices; 2) a lower hydrophobicity of the hydrophobic clusters forming the core of the protein; 3) deletion or substitution of proline residues in loops or turns connecting secondary structures; 4) improved solvent interactions with a hydrophilic surface via additional charged side chains; 5) the occurence of glycine clusters close to functional domains; and 6) a looser coordination of Ca2+ ions. No general rule from the molecular changes observed; rather, each enzyme adopts its own strategy by using one or a combination of these altered interactions. Enzymes from thermophiles reinforce the same type of interactions indicating that there is a continuity in the strategy of protein adaptation to temperature. (C) 1997 Elsevier Science Inc.</t>
  </si>
  <si>
    <t>UNIV LIEGE, BIOCHEM LAB, INST CHEM B6, B-4000 LIEGE, BELGIUM.</t>
  </si>
  <si>
    <t>10.1016/S0300-9629(97)00011-X</t>
  </si>
  <si>
    <t>YF644</t>
  </si>
  <si>
    <t>WOS:A1997YF64400011</t>
  </si>
  <si>
    <t>Detrich, HW</t>
  </si>
  <si>
    <t>Microtubule assembly in cold-adapted organisms: Functional properties and structural adaptations of tubulins from Antarctic fishes</t>
  </si>
  <si>
    <t>COMPARATIVE BIOCHEMISTRY AND PHYSIOLOGY A-PHYSIOLOGY</t>
  </si>
  <si>
    <t>beta-tubulin sequences; multi tubulin hypothesis; protein cold adaptation</t>
  </si>
  <si>
    <t>BETA-TUBULIN; LOW-TEMPERATURES; BRAIN TUBULINS; POLYMERIZATION; SEQUENCE; ISOTYPES; BINDING; DOMAINS; CONFORMATION; PROTEOLYSIS</t>
  </si>
  <si>
    <t>Fishes native to the coastal waters of the Antarctic have adapted to habitat and body temperatures in the range -1.8 to +2 degrees C. Their cytoplasmic microtubules, unlike those of mammals and temperate poikilotherms, have evolved to assemble efficiently at these low temperatures. To learn about the underlying molecular adaptations, my laboratory is studying microtubule proteins [tubulin alpha beta dimers and microtubule-associated proteins (MAPs)] and tubulin genes from several Antarctic fishes, including the rockcods Notothenia coriicepts and Gobionotothen gibberifrons. We find that the assembly-enhancing adaptations of the fish microtubule proteins are intrinsic to the tubulin subunits themselves. Furthermore, microtubule formation by Antarctic fish tubulins is strongly entropy driven, due in part-to an increased reliance, relative to tubulins from other species, on hydrophobic interactions. Based on analyses of tubulin polypeptides and cDNAs, we suggest that the structural adaptations of Antarctic fish tubulins most likely involve alterations in the primary sequences of tubulin isotypes. With respect to neural beta tubulins from other vertebrates, for example, the class II beta-tubulin isotype of N. coriiceps brain contains seven unique amino acid substitutions and one novel insertion in its 446-residue primary sequence. Most of these changes are located in a structural domain that forms contacts between tubulin dimers during microtubule assembly and would be expected to enhance polypeptide flexibility, thereby facilitating addition of tubulin to microtubule ends. The acidic carboxy-terminal tails of the alpha and beta tubulins, by contrast, appear not to be sites of cold adaptation of polymerization. We have also found that brain and egg tubulins from Antarctic fishes differ strikingly in their polymerization efficiencies, which demonstrates, in agreement with the multitubulin hypothesis, that tissue-specific tubulin isoforms can possess distinct functional properties. Thus, study of microtubule proteins from organisms, such as the Antarctic fishes, that have adapted to extreme thermal regimes should contribute significantly to an understanding of the quaternary interactions that control microtubule assembly in all eukaryotes. (C) 1997 Elsevier Science Inc.</t>
  </si>
  <si>
    <t>Detrich, HW (corresponding author), NORTHEASTERN UNIV,DEPT BIOL,BOSTON,MA 02115, USA.</t>
  </si>
  <si>
    <t>NCRR NIH HHS [RR07143] Funding Source: Medline</t>
  </si>
  <si>
    <t>0300-9629</t>
  </si>
  <si>
    <t>Comp. Biochem. Physiol. A-Physiol.</t>
  </si>
  <si>
    <t>10.1016/S0300-9629(97)00012-1</t>
  </si>
  <si>
    <t>WOS:A1997YF64400012</t>
  </si>
  <si>
    <t>Olsson, O; Brodin, A</t>
  </si>
  <si>
    <t>Changes in King Penguin breeding cycle in response to food availability</t>
  </si>
  <si>
    <t>Antarctica; King Penguin; life-history trade-off; prey abundance; seabird; state-dependent decision</t>
  </si>
  <si>
    <t>LIFE-HISTORIES; CROZET-ISLANDS; REPRODUCTION</t>
  </si>
  <si>
    <t>From 1991 to 1996 we investigated how the breeding cycle of King Penguins Aptenodytes patagonicus, in a small colony at South Georgia, was affected by variation in food availability between years. During the first (1992) and third (1996) of the three successful cycles studied, food was plentiful, whereas food availability was lower during the second cycle (1994). We found (1) the duration of breeding was longer (455 days) in 1994 compared to 1992 (437 days) and 1996 (438 days), (2) fewer birds made late breeding attempts in 1994 (38%) than in 1992 (88%) and 1996 (70%), and (3) those birds that made late attempts laid their egg later in 1994 (mean 16 March) compared to 1992 (19 February) and 1996 (21 February). We conclude that the breeding timetable changed in response both to the reduced availability of food in 1994 and to the subsequent improved conditions in 1996. This suggests that annual versus biennial breeding in King Penguins is dependent on the availability of food and the condition of the birds.</t>
  </si>
  <si>
    <t>BRITISH ANTARCTIC SURVEY, CAMBRIDGE CB3 0ET, ENGLAND; UNIV STOCKHOLM, DEPT ZOOL, S-10691 STOCKHOLM, SWEDEN</t>
  </si>
  <si>
    <t>UK Research &amp; Innovation (UKRI); Natural Environment Research Council (NERC); NERC British Antarctic Survey; Stockholm University</t>
  </si>
  <si>
    <t>Olsson, O (corresponding author), UPPSALA UNIV, DEPT ZOOL, VILLAVAGEN 9, S-75236 UPPSALA, SWEDEN.</t>
  </si>
  <si>
    <t>Olsson, Olof/0000-0002-9479-7609</t>
  </si>
  <si>
    <t>OXFORD UNIV PRESS INC</t>
  </si>
  <si>
    <t>CARY</t>
  </si>
  <si>
    <t>JOURNALS DEPT, 2001 EVANS RD, CARY, NC 27513 USA</t>
  </si>
  <si>
    <t>1938-5129</t>
  </si>
  <si>
    <t>10.2307/1370154</t>
  </si>
  <si>
    <t>YF641</t>
  </si>
  <si>
    <t>WOS:A1997YF64100021</t>
  </si>
  <si>
    <t>Worland, MR; Sinclair, BJ; Wharton, DA</t>
  </si>
  <si>
    <t>Ice nucleator activity in a New Zealand alpine cockroach Celatoblatta quinquemaculata (Dictyoptera: Blattidae)</t>
  </si>
  <si>
    <t>CRYO-LETTERS</t>
  </si>
  <si>
    <t>Celatoblatta quinquemaculata; cockroach; New Zealand; ice nucleation; freeze tolerance</t>
  </si>
  <si>
    <t>COLD-HARDINESS; TOLERANCE; SURVIVAL; INSECTS</t>
  </si>
  <si>
    <t>The New Zealand alpine cockroach Celatoblatta quinquemaculata (Dictyoptera: Blattidae) survives temperatures up to 5 degrees C below its supercooling point (SCP) of -5.4 degrees C in summer-acclimated samples. This high SCP suggests that C. quinquemaculata utilises potent ice nucleators to avoid extensive supercooling. The distribution of ice nucleating agents within the cockroach was investigated by measuring the SCP and ice nucleator activity of component parts of the body. Both the haemolymph and gut contain high numbers of nucleators active at -4 degrees C, It is proposed that insects of this category, which possess limited freeze tolerance, should be termed moderately freeze tolerant.</t>
  </si>
  <si>
    <t>Worland, MR (corresponding author), British Antarctic Survey, NERC, High Cross,Madingley Rd, Cambridge CB3 0ET, England.</t>
  </si>
  <si>
    <t>Wharton, David/0000-0001-6369-4984</t>
  </si>
  <si>
    <t>CRYO LETTERS</t>
  </si>
  <si>
    <t>7 WOOTTON WAY, CAMBRIDGE, CAMBS, ENGLAND CB3 9LX</t>
  </si>
  <si>
    <t>0143-2044</t>
  </si>
  <si>
    <t>CRYO-LETT</t>
  </si>
  <si>
    <t>Cryo-Lett.</t>
  </si>
  <si>
    <t>NOV-DEC</t>
  </si>
  <si>
    <t>YZ552</t>
  </si>
  <si>
    <t>WOS:000072265500002</t>
  </si>
  <si>
    <t>McAllen, R</t>
  </si>
  <si>
    <t>Using differential scanning calorimetry to study freezing in a euryhaline aquatic invertebrate</t>
  </si>
  <si>
    <t>Artemia nauplii; differential scanning calorimetry; cryobiology; osmoregulation; osmoconformer</t>
  </si>
  <si>
    <t>ARTEMIA CYSTS</t>
  </si>
  <si>
    <t>Differential scanning calorimetry was used to study the cryobiological characteristics of nauplii of the euryhaline aquatic brine shrimp Artemia salina acclimated to three salinities (5, 35 and 70 parts per thousand). There was no significant difference in the supercooling points (SCP) or freezable water contents of samples from the three salinities. Mean SCP values ranged from -21 to -22.5 degrees C. Mean melt onset temperatures and melting points differed significantly with samples acclimated to 5 parts per thousand having considerably higher melting points than those from 35 or 70 parts per thousand. These results are discussed in relation to the hyper-hypo ionic osmoregulation shown by Artemia and compared with data for the harpacticoid copepod Tigriopus brevicornis, which is an osmoconforming species. The study emphasizes how the osmotic physiology of such a euryhaline invertebrate affect sits supercooling ability and hence its survival in freezing conditions.</t>
  </si>
  <si>
    <t>Univ Marine Biol Stn, Millport KA28 0EG, Isle Of Cumbrae, Scotland; British Antarctic Survey, Nat Environm Council, Cambridge CB3 0ET, England</t>
  </si>
  <si>
    <t>WOS:000072265500007</t>
  </si>
  <si>
    <t>Pudsey, CJ; King, P</t>
  </si>
  <si>
    <t>Particle fluxes, benthic processes and the palaeoenvironmental record in the Northern Weddell Sea</t>
  </si>
  <si>
    <t>ANTARCTIC CIRCUMPOLAR CURRENT; SEDIMENT TRAP DATA; NOVA SCOTIAN RISE; SOUTHERN-OCEAN; DEEP-SEA; ATLANTIC SECTOR; BIOGENIC SILICA; PRIMARY PRODUCTIVITY; PARTICULATE MATTER; MASS-SPECTROMETRY</t>
  </si>
  <si>
    <t>At the northern edge of the Weddell Gyre, Antarctica, fine-grained sediments accumulate beneath eastward-flowing Weddell Sea Bottom Water. We report on sediment trap material and core tops from four sites, with relevant water-column data. In this cold, low-productivity oceanographic setting it is the processes in the benthic nepheloid layer (resuspension, transport, winnowing of fines) and in the upper few cm of sediment (bioturbation, dissolution of biogenic silica and carbonate, degradation of organic matter) that dominate the palaeoenvironmental record. Biogenic productivity is low and seasonal because of sea-ice cover; terrigenous sediment is supplied by resuspension of Weddell Sea slope and rise sediments and by ice-rafting. The benthic nepheloid layer is up to 150 m thick, with particulate matter concentrations of up to 0.51 mg/l. Sediment traps moored for 2 years 827 m above the seabed collected mainly biogenic opal with well-preserved and diverse diatoms and radiolarians. Traps 21 m above the seabed recorded additional high fluxes of terrigenous silt and clay. Core tops are terrigenous with very little organic matter or opal except at the northernmost site and a very restricted diatom assemblage. Core tops consist of silty clay or sandy silty clay, depending on current regime; the proportion of fine sand is related to the annual frequency of high ( &gt; 15 cm/sec) current speeds at each site. AMS (14)C dates on organic carbon in sediment traps are 965+/-50 and 1895+/-55 radiocarbon years, reflecting the high reservoir age of Southern Ocean surface waters. Core top ages of particulate organic carbon are 10500 and 13000 calendar years B.P. These high ages are related to the glacial-age source of resuspended slope and rise sediments. Cores from this area contain a textural record of Weddell Sea Bottom Water flow, but only fragmentary data on palaeo-surface conditions. (C) 1998 Published by Elsevier Science Ltd.</t>
  </si>
  <si>
    <t>British Antarctic Survey, Cambridge CB3 0ET, England; Univ E Anglia, Sch Environm Sci, Norwich NR4 7TJ, Norfolk, England</t>
  </si>
  <si>
    <t>UK Research &amp; Innovation (UKRI); Natural Environment Research Council (NERC); NERC British Antarctic Survey; University of East Anglia</t>
  </si>
  <si>
    <t>Pudsey, CJ (corresponding author), British Antarctic Survey, High Cross,Madingley Rd, Cambridge CB3 0ET, England.</t>
  </si>
  <si>
    <t>10.1016/S0967-0637(97)00064-2</t>
  </si>
  <si>
    <t>ZA037</t>
  </si>
  <si>
    <t>WOS:000072322200005</t>
  </si>
  <si>
    <t>Marks, KM; Stock, JM</t>
  </si>
  <si>
    <t>Early Tertiary gravity field reconstructions of the Southwest Pacific</t>
  </si>
  <si>
    <t>Southwest Pacific; lower Tertiary; gravity anomalies; Geosat; plate tectonics; reconstruction</t>
  </si>
  <si>
    <t>PLATE MOTIONS; TASMAN SEA; RIDGE; AUSTRALIA; GEOPHYSICS; ANTARCTICA; EVOLUTION</t>
  </si>
  <si>
    <t>The aim of our study is to chronicle the development of plate boundaries in the Southwest Pacific Ocean during the early Tertiary. This region has been the subject of numerous and often conflicting studies that have attempted to construct the history of plate motion and plate boundary evolution as the Australia and Pacific plates separated from Antarctica. Our novel approach entails reconstructing gravity fields from satellite altimeter gravity by first removing anomalies overlying seafloor younger than a selected age, and then rotating the remaining anomalies through appropriate finite rotations. Our reconstructions reveal: (1) an extensional plate boundary (the Iselin rift) existed between West and East Antarctica prior to A24 time; (2) the arrival of the Southeast Indian ridge (SEIR) at the Tasman ridge (prior to A24) led to the extinction of the Iselin rift as well as the conversion of the easternmost portion of the Tasman plate boundary (between the SEIR and the Iselin rift) into a transform fault on the Pacific-Antarctic ridge; and (3) an early (A24 or younger) inception of the Australia-Pacific plate boundary, Our scenario for the opening of the Southwest Pacific Ocean can explain the present-day gravity anomalies and magnetic isochrons observed in the northwest Ross Sea. We find that the East Antarctic seafloor northeast of the Iselin Bank was generated by spreading on the Tasman ridge prior to A24 time. (C) 1997 Elsevier Science B.V.</t>
  </si>
  <si>
    <t>NOAA, Lab Satellite Altimetry, Silver Spring, MD 20910 USA; CALTECH, Pasadena, CA 91125 USA</t>
  </si>
  <si>
    <t>National Oceanic Atmospheric Admin (NOAA) - USA; California Institute of Technology</t>
  </si>
  <si>
    <t>Marks, KM (corresponding author), NOAA, Lab Satellite Altimetry, E-OC2, Silver Spring, MD 20910 USA.</t>
  </si>
  <si>
    <t>Stock, Joann Miriam/AAN-1526-2021; Marks, Karen/F-5610-2010</t>
  </si>
  <si>
    <t>Stock, Joann Miriam/0000-0003-4816-7865; Marks, Karen/0000-0001-6524-1495</t>
  </si>
  <si>
    <t>10.1016/S0012-821X(97)00139-8</t>
  </si>
  <si>
    <t>YN938</t>
  </si>
  <si>
    <t>WOS:000071223900020</t>
  </si>
  <si>
    <t>Quesada, A; Vincent, WF</t>
  </si>
  <si>
    <t>Strategies of adaptation by Antarctic cyanobacteria to ultraviolet radiation</t>
  </si>
  <si>
    <t>EUROPEAN JOURNAL OF PHYCOLOGY</t>
  </si>
  <si>
    <t>Antarctica; blue-green algae; cyanobacteria; damage; Oscillatoria; Phormidium; ultraviolet; UV</t>
  </si>
  <si>
    <t>B RADIATION; ABSORBING COMPOUNDS; OZONE DEPLETION; MARINE DIATOMS; MICROBIAL MAT; BETA-CAROTENE; UV-RADIATION; LIGHT; PHYTOPLANKTON; PIGMENTATION</t>
  </si>
  <si>
    <t>Effects of UVA and UVB radiation were evaluated on two cyanobacterial strains (Phoumidium murrayi and Oscillatoria priestleyi) isolated from the McMurdo Ice Shelf, Antarctica. The two isolates showed some similarities, but also major differences in their qualitative and quantitative responses to ultraviolet radiation (UVR). Growth decreased with increasing WR, but with a 5-fold (WA) or 10-fold (WE) greater effect on O. priestleyi than P. murrayi. In both isolates, cellular concentrations of phycobiliproteins (measured by in vivo absorbance), and to a lesser extent chlorophyll a, diminished with increasing UVR exposure. Spectral scans of methanol extracts indicated the presence of UVR-screening compounds in O. priestleyi but not P. murrayi; however, the absorbance per unit dry weight was low, and similar in cultures with and without UVR. Carotenoid pigments increased up to a threshold UVB flux and thereafter decreased. In both isolates, moderate WA lessened the effect of growth inhibition by WE, consistent with a UVA-activated repair mechanism. Comparative motility tests showed that O. priestleyi is a fast gliding species that can rapidly relocate in response to changes in ambient light, while P. murrayi is non-motile. The ability of O. priestleyi to escape UVR by gliding, and the greater ability of P. murrayi to tolerate WA and UVB exposure, illustrate the differences in UVR survival strategies even between closely related species of cyanobacteria.</t>
  </si>
  <si>
    <t>Univ Laval, Dept Biol, St Foy, PQ G1K 7P4, Canada; Univ Laval, Ctr Etud Nord, St Foy, PQ G1K 7P4, Canada; Univ Autonoma Madrid, Dept Biol, E-28049 Madrid, Spain</t>
  </si>
  <si>
    <t>Laval University; Laval University; Autonomous University of Madrid</t>
  </si>
  <si>
    <t>Univ Laval, Dept Biol, St Foy, PQ G1K 7P4, Canada.</t>
  </si>
  <si>
    <t>Vincent, Warwick F/C-9522-2009; Vincent, Warwick/AAH-6152-2019; Quesada, Antonio/L-2430-2013</t>
  </si>
  <si>
    <t>Vincent, Warwick/0000-0001-9055-1938; Quesada, Antonio/0000-0002-8913-5993</t>
  </si>
  <si>
    <t>0967-0262</t>
  </si>
  <si>
    <t>1469-4433</t>
  </si>
  <si>
    <t>EUR J PHYCOL</t>
  </si>
  <si>
    <t>Eur. J. Phycol.</t>
  </si>
  <si>
    <t>10.1017/S0967026297001431</t>
  </si>
  <si>
    <t>YN682</t>
  </si>
  <si>
    <t>WOS:000071195200002</t>
  </si>
  <si>
    <t>Pirrie, D; Crame, JA; Riding, JB; Butcher, AR; Taylor, PD</t>
  </si>
  <si>
    <t>Miocene glaciomarine sedimentation in the northern Antarctic Peninsula region: the stratigraphy and sedimentology of the Hobbs Glacier Formation, James Ross Island</t>
  </si>
  <si>
    <t>GEOLOGICAL MAGAZINE</t>
  </si>
  <si>
    <t>VEGA-ISLAND; CRETACEOUS STRATIGRAPHY; CAPE LAMB</t>
  </si>
  <si>
    <t>The onshore record of Cenozoic glaciation in the Antarctic Peninsula region is Limited to a number of isolated localities on Alexander Island, the South Shetland Islands and in the James Ross Island area. In the James Ross Island area, Late Cretaceous sedimentary rocks are unconformably overlain by a unit of diamictites and tuffs, which occur at the base of the James Ross Island Volcanic Group. These rocks are here defined as the Hobbs Glacier Formation, and on the basis of palynological studies are assigned to a Miocene (?late Miocene) age. The diamictites are interpreted as representing glaciomarine sedimentation close to the grounding Line of either a floating ice shelf or a grounded tidewater glacier in a marine basin. Provenance studies indicate that the glacier was flowing from the Antarctic Peninsula towards the southeast. Volcanic tuffs conformably overlie the diamictites and are interpreted as representing deposition in a periglacial delta front setting in either a marine or non-marine basin, away from direct glacial influence. The Hobbs Glacier Formation and overlying James Ross Island Volcanic Group help to enhance our understanding of the Neogene glacial chronology of West Antarctica.</t>
  </si>
  <si>
    <t>Univ Exeter, Camborne Sch Mines, Redruth TR15 3SE, Cornwall, England; British Antarctic Survey, Cambridge CB3 0ET, England; British Geol Survey, Nottingham NG12 5GG, England; Nat Hist Museum, Dept Palaeontol, London SW7 5BD, England</t>
  </si>
  <si>
    <t>University of Exeter; UK Research &amp; Innovation (UKRI); Natural Environment Research Council (NERC); NERC British Antarctic Survey; UK Research &amp; Innovation (UKRI); Natural Environment Research Council (NERC); NERC British Geological Survey; Natural History Museum London</t>
  </si>
  <si>
    <t>Pirrie, D (corresponding author), Univ Exeter, Camborne Sch Mines, Redruth TR15 3SE, Cornwall, England.</t>
  </si>
  <si>
    <t>Butcher, Alan R/HJY-1378-2023</t>
  </si>
  <si>
    <t>Butcher, Alan R/0000-0002-0102-9396; Taylor, Paul/0000-0002-3127-080X; Pirrie, Duncan/0000-0002-4954-5920</t>
  </si>
  <si>
    <t>0016-7568</t>
  </si>
  <si>
    <t>GEOL MAG</t>
  </si>
  <si>
    <t>Geol. Mag.</t>
  </si>
  <si>
    <t>10.1017/S0016756897007796</t>
  </si>
  <si>
    <t>YP302</t>
  </si>
  <si>
    <t>WOS:000071263300001</t>
  </si>
  <si>
    <t>Qiu, B; Jin, FF</t>
  </si>
  <si>
    <t>Antarctic circumpolar waves: An indication of ocean-atmosphere coupling in the extratropics</t>
  </si>
  <si>
    <t>NORTHERN-HEMISPHERE CIRCULATION; INTERDECADAL VARIABILITY; SOUTHERN-HEMISPHERE; PACIFIC; TELECONNECTIONS; TEMPERATURE; WINTER</t>
  </si>
  <si>
    <t>Recent observational studies have detected coherent oceanic and atmospheric Antarctic circumpolar waves (ACWs) which propagate eastward at speeds of 6-8 cm s(-1) with a circumpolar wavenumber of 2. Analysis of global wind data suggests that the ACWs are not remotely forced by tropical El Ni (n) over tilde o activity through atmospheric teleconnection. Rather, a,coupled instability of the Antarctic Circumpolar Current and its overlying atmospheric motion is proposed to be responsible for the generation of the ACWs. The phase relationship among the observed oceanic and atmospheric variables supports the coupled instability theory. This study provides one clear example that extratropical ocean-atmosphere dynamical coupling is essential in generating climate variations on time scales of several years and longer.</t>
  </si>
  <si>
    <t>Qiu, B (corresponding author), UNIV HAWAII MANOA,SCH OCEAN &amp; EARTH SCI &amp; TECHNOL,1000 POPE RD,HONOLULU,HI 96822, USA.</t>
  </si>
  <si>
    <t>Qiu, Bo/D-9569-2017</t>
  </si>
  <si>
    <t>NOV 1</t>
  </si>
  <si>
    <t>10.1029/97GL02694</t>
  </si>
  <si>
    <t>YE985</t>
  </si>
  <si>
    <t>WOS:A1997YE98500013</t>
  </si>
  <si>
    <t>ColeDai, JH; MosleyThompson, E; Thompson, LG</t>
  </si>
  <si>
    <t>Quantifying the Pinatubo volcanic signal in south polar snow</t>
  </si>
  <si>
    <t>GREENLAND ICE CORE; EXPLOSIVE VOLCANISM; MOUNT-PINATUBO; STRATOSPHERIC AEROSOL; ERUPTION; LAYERS; RECORD</t>
  </si>
  <si>
    <t>Recent snow and firn core samples from South Pole contain increased sulfate (SO42-) concentrations during 1992-1994 as a result of the June 1991 Pinatubo eruption and the August 1991 Cerro Hudson eruption in Chile. Traces of Pinatubo tephra (volcanic ash) were identified in the 1993 and 1994 snow layers, supporting the conclusion that increased SO42- in 1993-1994 is from the Pinatubo eruption. Although the Pinatubo eruption preceded Hudson, its SO42- signal in south polar snow follows and is resolved from that of Hudson. The deposition of the Pinatubo SO42- aerosol was delayed due to the long transport to the high southern latitudes and its initial existence at high altitudes in the Antarctic atmosphere. Multi-year, multi-site sampling demonstrates that the volcanic signals are well preserved and spatially consistent. Measurements on 2 firn cores show that the South Pole SO42- flux from Pinatubo is 10.9 +/- 1.2 kg km(-2) over 2.2 years, while the Hudson flux is 3.2 +/- 0.6 kg km(-2) in 1.1 years. These results, when combined with satellite-determined Pinatubo sulfur dioxide (SO2) emission, make it possible to link quantitatively the atmospheric aerosol mass loading from a low-latitude volcanic eruption to its signal in polar ice cores.</t>
  </si>
  <si>
    <t>OHIO STATE UNIV, BYRD POLAR RES CTR, 1090 CARMACK RD, COLUMBUS, OH 43210 USA.</t>
  </si>
  <si>
    <t>Cole-Dai, Jihong/B-2510-2009; Mosley-Thompson, Ellen S/Z-2100-2018</t>
  </si>
  <si>
    <t>Cole-Dai, Jihong/0000-0003-0921-5916;</t>
  </si>
  <si>
    <t>1944-8007</t>
  </si>
  <si>
    <t>10.1029/97GL02734</t>
  </si>
  <si>
    <t>WOS:A1997YE98500038</t>
  </si>
  <si>
    <t>Blunier, T; Schwander, J; Stauffer, B; Stocker, T; Dallenbach, A; Indermuhle, A; Tschumi, J; Chappellaz, J; Raynaud, D; Barnola, JM</t>
  </si>
  <si>
    <t>Timing of the Antarctic cold reversal and the atmospheric CO2 increase with respect to the Younger Dryas event</t>
  </si>
  <si>
    <t>GREENLAND ICE-CORE; LAST DEGLACIATION; METHANE CONCENTRATION; CLIMATE; RECORD; HOLOCENE; MODE; BP</t>
  </si>
  <si>
    <t>The transition from the Last Glacial to the Holocene is a key period for understanding the mechanisms of global climate change. Ice cores from the large polar ice sheets provide a wealth of information with good time resolution for this period. However, interactions between the two hemispheres can only be investigated if ice core records from Greenland and Antarctica can be synchronised accurately and reliably. The atmospheric methane concentration shows large and very fast changes during this period. These variations are well suited for a synchronisation of the age scales of ice cores from Greenland and Antarctica. Here we confirm the proposed lead of the Antarctic Cold Reversal on the Younger Dryas cold event. The Antarctic cooling precedes the Younger Dryas by at least 1.8 kyr. This suggests that northern and southern hemispheres were in anti-phase during the Younger Dryas cold event. A further result of the synchronisation is that the long-term glacial-interglacial increase of atmospheric CO2 was not interrupted during the Younger Dryas event and that atmospheric CO2 changes are not necessarily dominated by changes in the North Atlantic circulation.</t>
  </si>
  <si>
    <t>CNRS,LAB GLACIOL &amp; GEOPHYS ENVIRONM,F-38402 ST MARTIN DHER,FRANCE</t>
  </si>
  <si>
    <t>Blunier, T (corresponding author), UNIV BERN,INST PHYS,SIDLERSTR 5,CH-3012 BERN,SWITZERLAND.</t>
  </si>
  <si>
    <t>raynaud, dominique/ABG-4718-2020; Stocker, Thomas F/B-1273-2013; Chappellaz, Jérôme A./A-4872-2011; Raynaud, Dominique/H-9626-2016; Blunier, Thomas/M-4609-2014</t>
  </si>
  <si>
    <t>10.1029/97GL02658</t>
  </si>
  <si>
    <t>WOS:A1997YE98500039</t>
  </si>
  <si>
    <t>Vinogradova, AA; Egorov, VA</t>
  </si>
  <si>
    <t>Contributions of industrial areas of the northern hemisphere to air pollution in the Russian Arctic</t>
  </si>
  <si>
    <t>LONG-RANGE TRANSPORT; ATMOSPHERIC AEROSOL; ELEMENT COMPOSITION; TRACE-ELEMENTS</t>
  </si>
  <si>
    <t>Synoptic conditions of a long-range air mass transport into the Russian Arctic in March and April 1981-1990 were analyzed from six-day-traveltime trajectories plotted from daily synoptic maps of the 850-hPa isobaric surfaces. In spring, passive pollutants are transported most efficiently into Severnaya Zemlya Archipelago from the area of Norilsk and approximately one half as efficiently from the Kola Peninsula and from the Pechora basin. The efficiency of the transport from northern Europe and Yakutia is approximately one third of the maximum. Pollutant transport to Wrangel Island in spring is only efficient from Alaska and Yakutia. The efficiency of pollutant transport from other regions is less than one fourth of the maximum. An analysis of the composition and intensity of atmospheric emissions of industrial areas of the Northern Hemisphere revealed the most significant regional sources of anthropogenic chemical elements: Europe, Norilsk, and the Urals for the central Arctic, and Alaska and western Canada for the eastern Arctic.</t>
  </si>
  <si>
    <t>Russian Acad Sci, Oboukhov Inst Atmospher Phys, Moscow 109017, Russia; Arctic &amp; Antarctic Res Inst, St Petersburg 199226, Russia</t>
  </si>
  <si>
    <t>Russian Academy of Sciences; Obukhov Institute of Atmospheric Physics of Russian Academy of Sciences; Arctic &amp; Antarctic Research Institute</t>
  </si>
  <si>
    <t>Vinogradova, AA (corresponding author), Russian Acad Sci, Oboukhov Inst Atmospher Phys, Pyzhevskii Per 3, Moscow 109017, Russia.</t>
  </si>
  <si>
    <t>Vinogradova, Anna/0000-0002-4056-472X</t>
  </si>
  <si>
    <t>YR685</t>
  </si>
  <si>
    <t>WOS:000071520000004</t>
  </si>
  <si>
    <t>Storey, BC</t>
  </si>
  <si>
    <t>Untitled</t>
  </si>
  <si>
    <t>JOURNAL OF AFRICAN EARTH SCIENCES</t>
  </si>
  <si>
    <t>Storey, BC (corresponding author), British Antarctic Survey, High Cross,Madingley Rd, Cambridge CB3 0ET, England.</t>
  </si>
  <si>
    <t>0899-5362</t>
  </si>
  <si>
    <t>J AFR EARTH SCI</t>
  </si>
  <si>
    <t>J. Afr. Earth Sci.</t>
  </si>
  <si>
    <t>10.1016/S0899-5362(97)00121-8</t>
  </si>
  <si>
    <t>YR643</t>
  </si>
  <si>
    <t>WOS:000071515800001</t>
  </si>
  <si>
    <t>Innis, JL; Dyson, PL; Greet, PA</t>
  </si>
  <si>
    <t>Further observations of the thermospheric vertical wind at the auroral oval/polar cap boundary</t>
  </si>
  <si>
    <t>HEMISPHERE POLAR-CAP; GRAVITY-WAVES; DYNAMICS EXPLORER; ANTARCTICA; TEMPERATURE; GENERATION; LATITUDES; MAWSON; CIRCULATION; MOTIONS</t>
  </si>
  <si>
    <t>We present further observations of thermospheric winds and temperatures, derived from observations of the lambda 630 nm oxygen auroral/airglow emission (from similar to 240 km altitude), obtained with a Fabry-Perot spectrometer (FPS) at Mawson station, Antarctica (L = 9). We report further instances of large upward zenith winds, with velocities up to similar to 80 m s(-1), often associated with increases in temperature of up to 200 K. These upward winds are mostly seen around 21 Z, which is when Mawson station passes under the poleward edge of the (discrete) auroral oval during intervals of low to moderate geomagnetic activity, and are yet further examples of the type of event presented in an earlier paper (Innis el ni., 1996). We also find intervals, up to several hours in length, when the temperatures measured South and East of the station can be several hundred degrees higher than those measured in the North and West directions, which we ascribe to the expansion of the hot polar cap into the South and East viewing directions. We have observed examples of seemingly anomalous wind measurements in the South and East directions during these times, which appear to be related to the presence of an upward wind in the observing volume of the FPS. Our observations suggest, however, that the upward wind would cause only a small perturbation (relative to the horizontal component) of the high-latitude thermospheric neutral wind field. The size of the zenith wind events (up to similar to 120 m s(-1)) seen in our observations at Mawson are comparable with the amplitude of oscillations seen in gravity waves propagating at similar to 300 km altitude over the polar cap from the nightside to the dayside, detected by Johnson er al. (1995) from Dynamics Explorer 2 observations. This similarity and the fact that we see the upward winds at the night-time auroral oval/polar cap boundary suggest that the origin of the upward winds may be intrinsically linked to the processes that generate these gravity waves. (C) 1997 Elsevier Science Ltd.</t>
  </si>
  <si>
    <t>LA TROBE UNIV,SCH PHYS,BUNDOORA,VIC 3083,AUSTRALIA</t>
  </si>
  <si>
    <t>La Trobe University</t>
  </si>
  <si>
    <t>Innis, JL (corresponding author), AUSTRALIAN ANTARCTIC DIV,CHANNEL HIGHWAY,KINGSTON,TAS 7050,AUSTRALIA.</t>
  </si>
  <si>
    <t>10.1016/S1364-6826(97)00034-5</t>
  </si>
  <si>
    <t>YE696</t>
  </si>
  <si>
    <t>WOS:A1997YE69600002</t>
  </si>
  <si>
    <t>Parkinson, ML; Monselesan, DP; Smith, PR; Dyson, PL; Morris, RJ</t>
  </si>
  <si>
    <t>Digital ionosonde measurements of the height variation of drift velocity in the southern polar cap ionosphere: Initial results</t>
  </si>
  <si>
    <t>PLASMA-FLOW; MODEL; DYNASONDE; MIDDLE; WINDS</t>
  </si>
  <si>
    <t>During the late austral summer of 1995-1996 we operated an HF digital ionosonde located at Casey, Antarctica (66.3 degrees S, 110.5 degrees E, -80.8 degrees corrected geomagnetic (CGM) latitude), in an experimental drift mode with the aim of resolving the height variation of drift velocity in the polar cap ionosphere. We devised control programs for a Digisonde Portable Sounder 4 to collect data at separate frequency-range gates corresponding to the E and F regions to investigate the differences in their motions, During a 4-day campaign commencing March 11, 1996, the mode values of the drift perpendicular to the magnetic field (V-perpendicular to) were 85 m s(-1) in the E region and 485 m s(-1) in the F region (using 10 m s(-1) bins and echoes from all heights in each region). Vertical profiles of drift velocity were obtained by sorting echoes into 10-km group-height bins. For measurements obtained within +/-3 hours of magnetic noon the average profile showed that in the lower E region V-perpendicular to increased approximately exponentially with true height. The corresponding velocity scale height was &lt;9.0 km at 105 km, where the gradient was &gt;46.7 m s(-1) km(-1). The mean value of V-perpendicular to leveled off to about 700 m s(-1) above 120 km, where it remained up to the F region peak height. The vertical gradient was caused by the increase in collision frequencies at the lower heights. The F region field-aligned component of drift (V-parallel to) showed a strong diurnal variation, with mean values of -30 m s(-1) near noon and +60 in s(-1) during the night at a height of 180 km. The average over the whole day reveals a net upward drift of 30 m s(-1). This behavior is attributed to the interaction between the meridional components of the generally antisunward neutral wind (U-N) and perpendicular drift (V-perpendicular to S) moving plasma down the field lines during the day and up the field lines during the night, with U-N and V-perpendicular to S having net equatorward values when averaged over all day. While the E region drift direction tended to be aligned with the basic antisunward convection which dominates the F region above Casey, it also tended to show greater temporal variability in direction, suggesting a smaller-scale size and lifetime for the E region structures giving rise to the echoes. There were events lasting over 2 hours during which the drifts in the two regions were clearly resolved into different azimuths (by nearly 180 degrees for two events). These transient directional shears show the time variability in the phase transition between an F region collisionless, magnetized plasma driven by the E x B/B-2 convection to an E region collisional, unmagnetized plasma driven by E and irregular neutral winds.</t>
  </si>
  <si>
    <t>AUSTRALIAN ANTARCTIC DIV,KINGSTON,TAS 7050,AUSTRALIA; LA TROBE UNIV,SCH ELECT ENGN,BUNDOORA,VIC 3083,AUSTRALIA</t>
  </si>
  <si>
    <t>Australian Antarctic Division; La Trobe University</t>
  </si>
  <si>
    <t>Parkinson, ML (corresponding author), LA TROBE UNIV,SCH PHYS,BUNDOORA CAMPUS,BUNDOORA,VIC 3083,AUSTRALIA.</t>
  </si>
  <si>
    <t>A11</t>
  </si>
  <si>
    <t>10.1029/97JA01944</t>
  </si>
  <si>
    <t>YE924</t>
  </si>
  <si>
    <t>WOS:A1997YE92400008</t>
  </si>
  <si>
    <t>Cramp, JL; Duldig, ML; Fluckiger, EO; Humble, JE; Shea, MA; Smart, DF</t>
  </si>
  <si>
    <t>The October 22, 1989, solar cosmic ray enhancement: An analysis of the anisotropy and spectral characteristics</t>
  </si>
  <si>
    <t>GROUND-LEVEL ENHANCEMENTS; MAGNETIC-FIELD; EVENT; RIGIDITY; PROTONS; FLARES; MODEL</t>
  </si>
  <si>
    <t>A solar cosmic ray ground-level enhancement was observed, at Earth on October 22, 1989, with an extremely anisotropic onset. On the basis of neutron monitor data we have derived the arrival directions, spectra, and pitch angle distributions of the greater than or equal to 1 GV solar protons. The results indicate an extended time period during which high-energy particles propagated past Earth with minimal scattering in the local interplanetary medium. The deduced pitch angle distributions of the particles propagating from the Sun show a relatively slow evolution from a focused particle flux, even though there are dramatic changes in the observed intensity-time profiles. Strong evidence is found that reverse scattering of particles beyond Earth resulted in bidirectional flow along the local interplanetary magnetic field during the second phase of the event.</t>
  </si>
  <si>
    <t>AUSTRALIAN ANTARCTIC DIV, KINGSTON, TAS 7050, AUSTRALIA; UNIV BERN, INST PHYS, CH-3012 BERN, SWITZERLAND; UNIV TASMANIA, DEPT PHYS, HOBART, TAS 7001, AUSTRALIA; PHILLIPS LAB, GEOPHYS DIRECTORATE, HANSCOM AFB, MA 01731 USA</t>
  </si>
  <si>
    <t>Australian Antarctic Division; University of Bern; University of Tasmania</t>
  </si>
  <si>
    <t>Duldig, Marcus/0000-0001-7463-8267; Humble, John/0000-0002-4698-1671</t>
  </si>
  <si>
    <t>10.1029/97JA01947</t>
  </si>
  <si>
    <t>WOS:A1997YE92400022</t>
  </si>
  <si>
    <t>Ivchenko, VO; Richards, KJ; Sinha, B; Wolff, JO</t>
  </si>
  <si>
    <t>Parameterization of mesoscale eddy fluxes in zonal ocean flows</t>
  </si>
  <si>
    <t>JOURNAL OF MARINE RESEARCH</t>
  </si>
  <si>
    <t>ANTARCTIC CIRCUMPOLAR CURRENT; BETA-PLANE CHANNEL; QUASI-GEOSTROPHIC MODEL; GENERAL-CIRCULATION; TRACER TRANSPORTS; WIND-DRIVEN; DYNAMICS; TOPOGRAPHY; EDDIES</t>
  </si>
  <si>
    <t>Quasi-geostrophic dynamics in an eddy-resolving zonal re-entrant channel in the Southern Hemisphere have been studied for east-and westward wind forcing scenarios. The main difference is seen in the zonally averaged velocity profiles. In the case of eastward forcing, transient eddies strongly intensify the flow in the channel center into a jet, a feature totally absent in the westward forcing cases. The free jet is associated with a five times higher available potential energy compared to the westward flow. We have used these two distinctly different flow regimes to investigate possible parameterizations of the eddy fluxes in both situations. Parameterizations using a diffusion concept for the quasi-geostrophic potential vorticity (QPV) fluxes, based on earlier work by Green and Welander, have raised a number of questions concerning the transfer (or diffusion) coefficients. These coefficients must satisfy three basic integral constraints, the balances of momentum, energy and enstrophy. It is shown that the constraints related to momentum and energy conservation are associated with Pedlosky's instability conditions. An analytical solution developed in this paper shows that the transfer coefficients have a theoretical upper limit in the eastward-forcing scenarios, resulting in a greater Reynolds number than a theoretically derived critical Reynolds number. A general parameterization scheme, based on the quasi-geostrophic eddy enstrophy balance, is presented, which accounts for both scenarios, a weakly baroclinic westward how and a strongly baroclinic eastward flow. This new parameterization reproduces the main difference in the east-and westward flows; i.e., a strong jet in the eastward-forcing case and a broad smooth flow in the westward-forcing case, in agreement with the numerical results of the eddy-resolving experiments.</t>
  </si>
  <si>
    <t>Univ Southampton, Dept Oceanog, Southampton SO14 3ZH, Hants, England; Plymouth Marine Lab, Plymouth PL1 3DH, Devon, England; Univ Tasmania, Antarctic CRC, Hobart, Tas 7001, Australia</t>
  </si>
  <si>
    <t>NERC National Oceanography Centre; University of Southampton; Plymouth Marine Laboratory; University of Tasmania</t>
  </si>
  <si>
    <t>Ivchenko, VO (corresponding author), Univ Southampton, Dept Oceanog, European Way, Southampton SO14 3ZH, Hants, England.</t>
  </si>
  <si>
    <t>KLINE GEOLOGY LABORATORY</t>
  </si>
  <si>
    <t>NEW HAVEN</t>
  </si>
  <si>
    <t>YALE UNIV, NEW HAVEN, CT 06520-8109 USA</t>
  </si>
  <si>
    <t>0022-2402</t>
  </si>
  <si>
    <t>J MAR RES</t>
  </si>
  <si>
    <t>J. Mar. Res.</t>
  </si>
  <si>
    <t>10.1357/0022240973224076</t>
  </si>
  <si>
    <t>YU986</t>
  </si>
  <si>
    <t>WOS:000071777000005</t>
  </si>
  <si>
    <t>Kamenkovich, VM</t>
  </si>
  <si>
    <t>On the transition between different dynamical regimes of the Antarctic Circumpolar Current</t>
  </si>
  <si>
    <t>MODEL; CIRCULATION; CHANNEL; DRAG</t>
  </si>
  <si>
    <t>Two different dynamical regimes of the Antarctic Circumpolar Current are considered: the Sverdrup regime and the frictionally controlled one. In the former the intensity of the current does not depend on friction, while in the latter it is inversely proportional to the coefficient of friction. The transition between these two regimes is studied. It is shown that the frictionally controlled regime is generated not only in the case of closed isolines of ambient potential vorticity q. The regime is formed in the case of blocked (or partially blocked) q isolines as well, if the slope of the q isolines in the zonal direction is sufficiently small.</t>
  </si>
  <si>
    <t>Univ So Mississippi, Inst Marine Sci, Stennis Space Ctr, MS 39529 USA</t>
  </si>
  <si>
    <t>University of Southern Mississippi</t>
  </si>
  <si>
    <t>Kamenkovich, VM (corresponding author), Univ So Mississippi, Inst Marine Sci, Bldg 1103,Room 249, Stennis Space Ctr, MS 39529 USA.</t>
  </si>
  <si>
    <t>10.1357/0022240973224067</t>
  </si>
  <si>
    <t>WOS:000071777000006</t>
  </si>
  <si>
    <t>Krupitsky, A; Cane, MA</t>
  </si>
  <si>
    <t>A two-layer wind-driven ocean model in a multiply connected domain with bottom topography</t>
  </si>
  <si>
    <t>ANTARCTIC CIRCUMPOLAR CURRENT; BETA-PLANE CHANNEL; LINEAR HOMOGENEOUS MODEL; TRANSPORT; FLOW</t>
  </si>
  <si>
    <t>The behavior of the solution to a two-layer wind-driven model in a multiply connected domain with bottom topography imitating the Southern Ocean is described. The abyssal layer of the model is forced by interfacial friction, crudely simulating the effect of eddies. The analysis of the low friction regime is based on the method of characteristics. It is found that characteristics in the upper layer are closed around Antarctica, while those in the lower layer are blocked by solid boundaries. The momentum input from wind in the upper layer is balanced by lateral and interfacial friction and by interfacial pressure drag. In the lower layer the momentum input from interfacial friction and interfacial pressure drag is balanced by topographic pressure drag. Thus, the total momentum input by the wind is balanced by upper-layer lateral friction and by topographic pressure drag. In most of the numerical experiments the circulations in the two layers appear to be decoupled. The decoupling can be explained by the JEBAR term, whose magnitude decreases as interfacial friction increases. The solution tends toward the barotropic one if the interfacial friction is large enough to render the JEBAR term to be no larger than the wind stress curl term in the potential vorticity equation. The change of regimes occurs when the value of the interfacial friction coefficient kappa equals kappa(0) = H(1)f(0)(L-y/L-x)(A/H-0), where f(0) is the mean value of the Coriolis parameter; L-y and L-x are the meridional and zonal domain dimensions; H-0 and H-1 are the mean depths of the ocean and of the upper layer; and A is the amplitude of topographic perturbations. Note that kappa(0) does not depend on the strength of the wind stress. The magnitude of the total transport is found to depend crucially on the efficiency of the momentum transfer from the upper to the lower layer, that is, on the ratio kappa/epsilon, where epsilon is the lateral friction coefficient. If epsilon and kappa are assumed to be proportional, the upper-layer transport and total transport vary as epsilon(-5/6).</t>
  </si>
  <si>
    <t>COLUMBIA UNIV,LAMONT DOHERTY EARTH OBSERV,PALISADES,NY</t>
  </si>
  <si>
    <t>Cane, Mark A/I-8086-2012</t>
  </si>
  <si>
    <t>Cane, Mark/0000-0001-5408-2388</t>
  </si>
  <si>
    <t>45 BEACON ST, BOSTON, MA 02108-3693</t>
  </si>
  <si>
    <t>10.1175/1520-0485(1997)027&lt;2395:ATLWDO&gt;2.0.CO;2</t>
  </si>
  <si>
    <t>YF289</t>
  </si>
  <si>
    <t>WOS:A1997YF28900007</t>
  </si>
  <si>
    <t>Halac, S; Felip, M; Camarero, L; Sommaruga-Wograth, S; Psenner, R; Catalan, J; Sommaruga, R</t>
  </si>
  <si>
    <t>An in situ enclosure experiment to test the solar UVB impact on plankton in a high-altitude mountain lake. I. Lack of effect on phytoplankton species composition and growth</t>
  </si>
  <si>
    <t>JOURNAL OF PLANKTON RESEARCH</t>
  </si>
  <si>
    <t>ULTRAVIOLET-B RADIATION; ANTARCTIC OZONE DEPLETION; PHOTOSYNTHESIS; INHIBITION; PHOTOINHIBITION; ORGANISMS; RESPONSES; MOTILITY; WATERS; ALGAE</t>
  </si>
  <si>
    <t>The effect of solar UVB radiation on the growth and species composition of phytoplankton from a high-mountain lake (2417 m a.s.l.) was studied in situ for 16 days in two enclosures of 1 m(3), receiving either full sunlight or sunlight without UVB. A total of 20 species were identified in both enclosures, consisting mainly of dinoflagellates, chrysophytes and diatoms. During the experiment, there were no significant differences in phytoplankton species composition between the two enclosures. In both treatments, the abundance of phytoplankton increased continuously, and chlorophyll a changed by similar to 5-fold. We observed high fluctuations in the abundance of several species. However, these fluctuations occurred in both enclosures, and hence they were not related to UVB radiation. Some species were affected by daily fluctuations of radiation (UVA + photosynthetically active radiation). Cyclotella aff. gordonensis showed a robust positive correlation, whereas species of Gymnodinium were negatively correlated. For most species, the sensitivity to radiation found during the experiment was consistent with their diurnal vertical distribution in the lake. Our findings suggest that the phytoplankton from this very clear lake (10% of the surface UVB radiation at 305 nm reached 9.6 m depth) were well adapted to the high UVB radiation characteristic of high-elevation sites.</t>
  </si>
  <si>
    <t>Univ Barcelona, Dept Ecol, E-08028 Barcelona, Spain; Univ Barcelona, Ctr High Mt Res, E-08028 Barcelona, Spain; Univ Innsbruck, Inst Zool &amp; Limnol, A-6020 Innsbruck, Austria</t>
  </si>
  <si>
    <t>University of Barcelona; University of Barcelona; University of Innsbruck</t>
  </si>
  <si>
    <t>Catalan, J (corresponding author), Univ Barcelona, Dept Ecol, Diagonal 645, E-08028 Barcelona, Spain.</t>
  </si>
  <si>
    <t>Halac, Silvana/ABB-5760-2020; Sommaruga, Ruben/E-5335-2011; Felip, Marisol/G-2823-2016; Sommaruga, Ruben/P-6626-2019; Catalan, Jordi/A-5420-2008; Camarero, Lluis/J-9239-2012</t>
  </si>
  <si>
    <t>Sommaruga, Ruben/0000-0002-1055-2461; Sommaruga, Ruben/0000-0002-1055-2461; Catalan, Jordi/0000-0002-2934-4013; Camarero, Lluis/0000-0003-4271-8988</t>
  </si>
  <si>
    <t>0142-7873</t>
  </si>
  <si>
    <t>J PLANKTON RES</t>
  </si>
  <si>
    <t>J. Plankton Res.</t>
  </si>
  <si>
    <t>10.1093/plankt/19.11.1671</t>
  </si>
  <si>
    <t>YN451</t>
  </si>
  <si>
    <t>WOS:000071169900006</t>
  </si>
  <si>
    <t>Impact of UV radiation of different wavebands on pigments and assimilation of N-15-ammonium and N-15-nitrate by natural phytoplankton and ice algae in Antarctica</t>
  </si>
  <si>
    <t>JOURNAL OF PLANT PHYSIOLOGY</t>
  </si>
  <si>
    <t>UV effects; UV-A; UV-B; nitrogen metabolism; pigments; Antarctic phytoplankton; ice-algae</t>
  </si>
  <si>
    <t>INORGANIC NITROGEN UPTAKE; ULTRAVIOLET-B RADIATION; MARINE-PHYTOPLANKTON; ODONTELLA-WEISSFLOGII; SEA; IRRADIANCE; DIATOMS; OZONE; ENVIRONMENT; MICROALGAE</t>
  </si>
  <si>
    <t>The effects of UV radiation of different wavebands on pigments and assimilation of N-15-ammonium and N-15-nitrate of natural phytoplankton and sea-ice algae were studied during the &lt;&gt; cruise (ANT X/7) in the Weddell Sea, Antarctica (December 3, 1992 to January 22, 1993). UV radiation experiments were performed with special Philips lamps (TL 20W/12) in connection with cut-off filters (WG 295, WG 305 and WG 320) under controlled laboratory conditions at +2 degrees C. Chlorophyll a biosynthesis was more affected by UV-B radiation than chlorophyll c. Uptake of N-15-ammonium and N-15-nitrate by ice-algae was less reduced by UV-B than that of the phytoplankton samples. The inhibitory effect was dependent on the applied UV fluence rate and the species composition of the assemblages. Patterns of N-15-labelled free amino acids and the pools varied in dependence on the wavebands of UV irradiance and the species composition as well. Results were discussed with reference to the different UV targets and the key enzymes of nitrogen metabolism.</t>
  </si>
  <si>
    <t>Dohler, G (corresponding author), UNIV FRANKFURT,INST BOT,SIESMAYERSTR 70,D-60054 FRANKFURT,GERMANY.</t>
  </si>
  <si>
    <t>0176-1617</t>
  </si>
  <si>
    <t>J PLANT PHYSIOL</t>
  </si>
  <si>
    <t>J. Plant Physiol.</t>
  </si>
  <si>
    <t>YJ515</t>
  </si>
  <si>
    <t>WOS:A1997YJ51500006</t>
  </si>
  <si>
    <t>Carter, L; McCave, IN</t>
  </si>
  <si>
    <t>The sedimentary regime beneath the deep western boundary current inflow to the southwest Pacific Ocean</t>
  </si>
  <si>
    <t>JOURNAL OF SEDIMENTARY RESEARCH</t>
  </si>
  <si>
    <t>ANTARCTIC CIRCUMPOLAR CURRENT; NEW-ZEALAND; SEISMIC STRATIGRAPHY; BOUNTY CHANNEL; PLATE BOUNDARY; SOUTHERN-OCEAN; SEA STORMS; EVOLUTION; TROUGH; MARGIN</t>
  </si>
  <si>
    <t>A review of hydrographic sections, single-channel seismic profiles, bottom photographs, and nephelometer profiles collected by the U.S.N.S. Eltanin, plus new seismic and sedimentary data from the R.V. Rapuhia, provide an insight into the sedimentary regime beneath the Pacific deep western boundary current (DWBC),where it enters the SW Pacific off southernmost New Zealand at Macquarie Ridge and Campbell Plateau, There the DWBC is reinforced by the Antarctic Circumpolar Current (ACC) largely through the generation of deep-reaching eddies formed by interaction of the ACC with the pronounced bathymetry. It is therefore a region of high eddy kinetic energy, which induces widespread abyssal erosion, It is also where the DWBC receives its first major injection of terrigenous sediment, which is transferred from southern New Zealand along the 450+ km-long Solander Channel, From Macquarie Ridge the ACC-DWBC travels northeast onto the Subantarctic Slope of Campbell Plateau, This high, steep, western boundary intensifies the how, causing erosion along the slope base, East of the scour the 800 km-long Campbell Drift has been deposited, This drift extends to 51 degrees S, where the ACC swings east to continue its circum-Antarctic journey, while the DWBC continues northeast to Bounty Trough, where the combination of abundant sediment supplied by Bounty Channel, a subdued western boundary, and a less energetic DWBC, have allowed the Bounty Fan to form directly across the current path, Apart from localized winnowing near zones of high relief, evidence for widespread DWBC influence on the fan is inconclusive, However, current effects become more apparent north of Bounty Fan, where the steep western boundary resumes in the form of Chatham Rise, Eroded fan sediments have contributed to a series of small drifts at 4400-5000 m depth, whereas at 2400-3400 m depth on the flank of Chatham Rise, the DWBC has molded a sinuous terrace-like drift. Viewed regionally, sedimentation beneath the boundary current south of Chatham Rise contrasts strongly with the regime to the north, The southern current is energetic and terrigenous supply is intermittent, being restricted to glacial lowstands, Consequently, erosion is common, and drifts are few and are themselves subject to erosion, By comparison, the current north of the rise is generally slower and has a more consistent terrigenous supply, particularly near Hikurangi Channel, which has been active irrespective of sea level, Thus widespread drift deposition is favored.</t>
  </si>
  <si>
    <t>UNIV CAMBRIDGE,DEPT EARTH SCI,CAMBRIDGE CB2 3EQ,ENGLAND</t>
  </si>
  <si>
    <t>University of Cambridge</t>
  </si>
  <si>
    <t>Carter, L (corresponding author), NATL INST WATER &amp; ATMOSPHERE,POB 14 901,WELLINGTON,NEW ZEALAND.</t>
  </si>
  <si>
    <t>McCave, Nick N/G-7323-2016; McCave, I. Nick/O-3992-2018</t>
  </si>
  <si>
    <t>McCave, Nick N/0000-0002-4702-5489; McCave, I. Nick/0000-0002-4702-5489</t>
  </si>
  <si>
    <t>SEPM-SOC SEDIMENTARY GEOLOGY</t>
  </si>
  <si>
    <t>TULSA</t>
  </si>
  <si>
    <t>1731 E 71ST STREET, TULSA, OK 74136-5108</t>
  </si>
  <si>
    <t>1073-130X</t>
  </si>
  <si>
    <t>J SEDIMENT RES</t>
  </si>
  <si>
    <t>J. Sediment. Res.</t>
  </si>
  <si>
    <t>B</t>
  </si>
  <si>
    <t>YH415</t>
  </si>
  <si>
    <t>WOS:A1997YH41500003</t>
  </si>
  <si>
    <t>Butler, H; Rogerson, A</t>
  </si>
  <si>
    <t>Consumption rates of six species of marine benthic naked amoebae (gymnamoebia) from sediments in the Clyde Sea area</t>
  </si>
  <si>
    <t>JOURNAL OF THE MARINE BIOLOGICAL ASSOCIATION OF THE UNITED KINGDOM</t>
  </si>
  <si>
    <t>FLUORESCENTLY LABELED BACTERIA; AMEBAS GYMNAMOEBAE; HUDSON ESTUARY; CELL-VOLUME; GROWTH; EXCRETION; PROTOZOA; FATE; SOIL; MICROFLAGELLATE</t>
  </si>
  <si>
    <t>Six species of naked amoebae, ranging in size from 45 to 3258 mu m(3), were isolated from benthic sediments of the Clyde Sea area. The number of fluorescently labelled bacteria (FLB) consumed by these amoebae was determined at 5, 10, 15 and 20 degrees C. Consumption rates varied markedly, ranging from 0.2 to 194.7 bacteria h(-1) (equivalent to 0.16-155.8 mu m(3) bacterial biomass). However, only some of these values were considered to be optimal; several of the uptake values were too low to account for the measured growth rates of amoebae. Using the optimal consumption rate data, the mean specific rates increased from 0.042 bacteria h(-1) mu m(-3) at 5 degrees C to 0.131 bacteria h(-1) mu m(-3) at 20 degrees C. This is the first study to detail the ingestion rates of a range of bacterivorous marine gymnamoebae.</t>
  </si>
  <si>
    <t>S DAKOTA SCH MINES &amp; TECHNOL, DEPT CHEM &amp; CHEM ENGN, RAPID CITY, SD 57701 USA; UNIV MARINE BIOL STN, MILLPORT KA28 0EG, SCOTLAND</t>
  </si>
  <si>
    <t>Butler, H (corresponding author), BRITISH ANTARCTIC SURVEY, MADINGLEY RD, CAMBRIDGE CB3 0ET, ENGLAND.</t>
  </si>
  <si>
    <t>0025-3154</t>
  </si>
  <si>
    <t>1469-7769</t>
  </si>
  <si>
    <t>J MAR BIOL ASSOC UK</t>
  </si>
  <si>
    <t>J. Mar. Biol. Assoc. U.K.</t>
  </si>
  <si>
    <t>10.1017/S0025315400038571</t>
  </si>
  <si>
    <t>YJ061</t>
  </si>
  <si>
    <t>WOS:A1997YJ06100005</t>
  </si>
  <si>
    <t>Moorhead, DL; Wolf, CF; Wharton, RA</t>
  </si>
  <si>
    <t>Impact of light regimes on productivity patterns of benthic microbial mats in an Antarctic lake: A modeling study</t>
  </si>
  <si>
    <t>LAND STREAMS ANTARCTICA; PRODUCTION ECOLOGY; PHOTOSYNTHESIS; PHYTOPLANKTON; COMMUNITIES; HOARE; CYANOBACTERIA; DESICCATION; ENVIRONMENT; IRRADIANCE</t>
  </si>
  <si>
    <t>Filamentous cyanobacteria often dominate benthic microbial communities of antarctic lakes and usually exhibit saturation of photosynthesis at light intensities similar to 100 mu Einst m(-2) s(-1). Incident light regimes an controlled by ice and snow accumulations overlaying water columns during much of the year. Thus, Light availability to microbial mats is often below saturation intensity and is strongly influenced by modest changes in climatic factors. A model of net primary production for benthic mat communities of the subantarctic Sombre Lake, Signy Island, was developed (1) to evaluate depth-specific productivities of mat communities, (2) to test the relative importances of model parameters to mat production, and (3) to explore the potential impacts of climate change on mat production as manifested through changes in light regime. Simulated rates of net primary production corresponded to observations on a daily basis (similar to 1-4 mu g C fixed mg(-1) ash-free DW of mat d(-1)) but were an order of magnitude lower than estimates of net annual production based on field measurements (less than or equal to vs. 11-45 g C m(-2) yr(-1), respectively). Close examination suggested that the simulated values were mon plausible. A detailed sensitivity analysis of model behavior revealed that variations in the time of ice and snow melt in spring accounted for 40-60% of the total variation in model behavior, emphasizing the importance of climatic factors to net primary production of mat communities and the sensitivity of mat production to climate change.</t>
  </si>
  <si>
    <t>Texas Tech Univ, Dept Biol Sci, Ecol Program, Lubbock, TX 79409 USA; Univ Nevada, Desert Res Inst, Reno, NV 89506 USA</t>
  </si>
  <si>
    <t>Texas Tech University System; Texas Tech University; Nevada System of Higher Education (NSHE); University of Nevada Reno; Desert Research Institute NSHE</t>
  </si>
  <si>
    <t>Moorhead, DL (corresponding author), Texas Tech Univ, Dept Biol Sci, Ecol Program, Lubbock, TX 79409 USA.</t>
  </si>
  <si>
    <t>10.4319/lo.1997.42.7.1561</t>
  </si>
  <si>
    <t>ZE703</t>
  </si>
  <si>
    <t>WOS:000072822100008</t>
  </si>
  <si>
    <t>Johnston, NM; Ritz, DA; Fenton, GE</t>
  </si>
  <si>
    <t>Larval development in the Tasmanian mysids Anisomysis mixta australis, Tenagomysis tasmaniae and Paramesopodopsis rufa (Crustacea: Mysidacea)</t>
  </si>
  <si>
    <t>We describe the brood duration and marsupial development of three temperate coastal mysid species, Anisomysis mixta australis (Zimmer), Tenagomysis tasmaniae Fenton and Paramesopodopsis rufa Fenton, found commonly in Tasmanian waters. Larvae cultured in vitro had brood durations at 13 degrees C (17 degrees C) of 22 (15), 23 (15), and 28 (20) d, respectively. Development through seven larval stages, and brood durations for these three species are similar to those reported for coastal mysids from other temperate areas throughout the world.</t>
  </si>
  <si>
    <t>Univ Tasmania, Dept Zool, Hobart, Tas 7001, Australia</t>
  </si>
  <si>
    <t>Johnston, NM (corresponding author), British Antarctic Survey, High Cross,Madingley Rd, Cambridge CB3 0ET, England.</t>
  </si>
  <si>
    <t>10.1007/s002270050228</t>
  </si>
  <si>
    <t>YL945</t>
  </si>
  <si>
    <t>WOS:000071011200010</t>
  </si>
  <si>
    <t>DaSilva, JL; Anderson, JB; Stravers, J</t>
  </si>
  <si>
    <t>Seismic facies changes along a nearly continuous 24° latitudinal transect:: the fjords of Chile and the northern Antarctic peninsula</t>
  </si>
  <si>
    <t>MARINE GEOLOGY</t>
  </si>
  <si>
    <t>Antarctic Peninsula; seismic stratigraphy; climate effects; glaciomarine sedimentation</t>
  </si>
  <si>
    <t>QUATERNARY GLACIATIONS; LAKE DISTRICT; SOUTH-AMERICA; TREE-RING; SEDIMENTATION; MARINE; SEA; DEGLACIATION; MORAINES; CLIMATE</t>
  </si>
  <si>
    <t>High-resolution seismic reflection profiles and piston cores from bays, fjords, and straits of the inland passage of Chile and the northern Antarctic peninsula region were used to examine changes in seismic facies along a nearly continuous 24 degrees latitudinal transect that encompasses temperate, subpolar, and polar climatic regimes. These climatic regimes are characterized by differences in seismic facies. Eight seismic facies are recognized on the basis of reflection character, intensity of acoustic contrast at bounding surfaces, and external shape of the unit. The northern and central Chilean fjord region is a temperate maritime setting characterized by thick ice-proximal and ice-distal glacial-marine strata and a variety of morainal features. The southern inland passage and the South Shetland Islands of Antarctica represent transitional (sub-polar) glacial-marine settings. These areas are characterized by relict ice-proximal glacial-marine facies and relatively thin ice-distal glacial-marine facies. Morainal ridges occur in bays and fjords of Chile. The northern Antarctic Peninsula is a polar climatic setting. The straits, bays, and fjords of the region have been virtually scraped clean of sediments. A thin, draping glacial-marine unit occurs locally in these areas. (C) 1997 Elsevier Science B.V.</t>
  </si>
  <si>
    <t>Rice Univ, Dept Geol &amp; Geophys, Houston, TX 77251 USA; No Illinois Univ, Dept Geol, De Kalb, IL 60115 USA</t>
  </si>
  <si>
    <t>Rice University; Northern Illinois University</t>
  </si>
  <si>
    <t>DaSilva, JL (corresponding author), John E Chance &amp; Associates Inc, Lafayette, LA 70506 USA.</t>
  </si>
  <si>
    <t>Anderson, John/B-1011-2012</t>
  </si>
  <si>
    <t>0025-3227</t>
  </si>
  <si>
    <t>1872-6151</t>
  </si>
  <si>
    <t>MAR GEOL</t>
  </si>
  <si>
    <t>Mar. Geol.</t>
  </si>
  <si>
    <t>10.1016/S0025-3227(97)00092-3</t>
  </si>
  <si>
    <t>Geosciences, Multidisciplinary; Oceanography</t>
  </si>
  <si>
    <t>Geology; Oceanography</t>
  </si>
  <si>
    <t>YN856</t>
  </si>
  <si>
    <t>WOS:000071215100006</t>
  </si>
  <si>
    <t>Bartek, LR; Andersen, JLR; Oneacre, TA</t>
  </si>
  <si>
    <t>Substrate control on distribution of subglacial and glaciomarine seismic facies based on stochastic models of glacial seismic facies deposition on the Ross Sea continental margin, Antarctica</t>
  </si>
  <si>
    <t>seismic stratigraphy; stochastic model; glacial; continental margin; Cenozoic; climate change</t>
  </si>
  <si>
    <t>SEDIMENTATION; SHELF</t>
  </si>
  <si>
    <t>A quantitative approach was utilized to establish the nature of spatial and temporal variations of glaciomarine and subglacial seismic facies deposition in the Ross Sea. The Ross Sea is an excellent area to study Antarctic ice sheet volume variations because it receives ice sheet drainage from approximately 25% of the continent and it contains subsiding basins to preserve the stratigraphic record of the ice sheet volume fluctuations. This region receives most of the influence on deposition from the marine-based West Antarctic Ice Sheet which is believed to have been subject to catastrophic surges [Hollin, J.T., 1962. On the glacial history of Antarctica. Journal of Glaciology, 4: 173-195]. The Eastern Basin, in particular, has been subsiding, creating accommodation space in which to preserve the Plio-Pleistocene record of ice sheet fluctuations. Evidence from high-resolution seismic data in conjunction with DSDP Leg 28 drilling results are used to test hypotheses of paleo-ice sheet behavior. Here we present quantitative evidence for a dynamic polar style of glaciation (meaning that the ice sheets have had 'dynamic' or large ice volume change), not merely in the Plio-Pleistocene, but back to the Late Oligocene. High-resolution seismic data correlated to DSDP Sites 270-273 shows evidence of multiple ice sheet grounding events in central and eastern Ross Sea strata, a recipient of both West and East Antarctic Ice Sheets, from the Late Oligocene until the present. We suggest that the West and East Antarctic Ice Sheets are dynamic and have gone through a full spectrum of thermal states (temperate through polar) since the Late Oligocene and not necessarily in any particular preferred temporal order. Statistical analysis of the spatial distribution of seismic facies within 'seismic cores' indicates that tectonic, influence on distribution of basal substrate is a significant contributor to spatial variability of subglacial depositional processes and therefore distribution of subglacial facies. (C) 1997 Elsevier Science B.V.</t>
  </si>
  <si>
    <t>Univ Alabama, Dept Geol, Tuscaloosa, AL 35487 USA</t>
  </si>
  <si>
    <t>University of Alabama System; University of Alabama Tuscaloosa</t>
  </si>
  <si>
    <t>Bartek, LR (corresponding author), Univ Alabama, Dept Geol, Box 870338, Tuscaloosa, AL 35487 USA.</t>
  </si>
  <si>
    <t>10.1016/S0025-3227(97)00099-6</t>
  </si>
  <si>
    <t>WOS:000071215100013</t>
  </si>
  <si>
    <t>Bruni, V; Maugeri, TL; Monticelli, L</t>
  </si>
  <si>
    <t>Faecal pollution indicators in the Terra Nova Bay (Ross Sea, Antarctica)</t>
  </si>
  <si>
    <t>MARINE POLLUTION BULLETIN</t>
  </si>
  <si>
    <t>Antarctic seawater; faecal pollution; coliforms; faecal streptococci</t>
  </si>
  <si>
    <t>FECAL-COLIFORMS; SEWAGE; SEAWATER; INACTIVATION; ENTEROCOCCI; BACTERIA</t>
  </si>
  <si>
    <t>The occurrence of faecal bacteria indicators (total coliforms, faecal coliforms and streptococci) in pristine waters and near Italian Base stations of the Terra Nova Bay was investigated. High bacterial densities were found at the station near to the outfall of the sewage disposal plant and when the population at Base was more abundant. In all other stations further from the outfall, the bacterial indicators were absent or present in very small numbers, Faecal bacteria were not detected in samples collected at pristine sites (Penguin Bay and Evans Cove) except for only 1 enterococcus per 100 ml at Evans Cove. In the seawater samples in which faecal coliforms and faecal streptococci were found, the latter were generally more abundant and in 4 samples only streptococci were isolated, although in low number. This could suggest that faecal streptococci are more suitable bacteria for investigation of the human impact on the Antarctic marine environment. (C) 1997 Elsevier Science Ltd.</t>
  </si>
  <si>
    <t>Dipartimento Biol Anim &amp; Ecol Marina, I-98166 Messina, Italy; CNR, Ist Sperimentale Talassog, I-98122 Messina, Italy</t>
  </si>
  <si>
    <t>Bruni, V (corresponding author), Dipartimento Biol Anim &amp; Ecol Marina, Sperone 31, I-98166 Messina, Italy.</t>
  </si>
  <si>
    <t>0025-326X</t>
  </si>
  <si>
    <t>1879-3363</t>
  </si>
  <si>
    <t>MAR POLLUT BULL</t>
  </si>
  <si>
    <t>Mar. Pollut. Bull.</t>
  </si>
  <si>
    <t>10.1016/S0025-326X(97)00050-7</t>
  </si>
  <si>
    <t>Environmental Sciences; Marine &amp; Freshwater Biology</t>
  </si>
  <si>
    <t>YR821</t>
  </si>
  <si>
    <t>WOS:000071533600021</t>
  </si>
  <si>
    <t>Scherer, P; Schultz, L; Neupert, U; Knauer, M; Neumann, S; Leya, I; Michel, R; Mokos, J; Lipschutz, ME; Metzler, K; Suter, M; Kubik, PW</t>
  </si>
  <si>
    <t>Allan Hills 88019: An Antarctic H-chondrite with a very long terrestrial age</t>
  </si>
  <si>
    <t>COSMOGENIC NUCLIDES; MODEL-CALCULATIONS; GALACTIC PROTONS; METEORITES; METEOROIDS; EXPOSURE; NE-21; ICE</t>
  </si>
  <si>
    <t>We have measured the concentrations of the cosmogenic radionuclides Be-10, Al-26 and Cl-36 (half-lifes 1.51 Ma, 716 ka, and 300 ka, respectively) in two different laboratories by accelerator mass spectrometry (AMS) techniques, as well as concentrations and isotopic compositions of stable He, Ne and Ar in the Antarctic H-chondrite Allan Hills (ALH) 88019. In addition, nuclear track densities were measured. From these results, it is concluded that the meteoroid ALH 88019 had a preatmospheric radius of (20 +/- 5) cm and a shielding depth for the analyzed samples of between 4 and 8 cm. Using calculated and experimentally determined production rates of cosmogenic nuclides, an exposure age of similar to 40 Ma is obtained from cosmogenic Ne-21 and Ar-38. The extremely low concentrations of radionuclides are explained by a very long terrestrial age for this meteorite of 2 +/- 0.4 Ma. A similarly long terrestrial age was found so far only for the Antarctic L-chondrite Lewis Cliff (LEW) 86360. Such long ages establish one boundary condition for the history of meteorites in Antarctica.</t>
  </si>
  <si>
    <t>MAX PLANCK INST CHEM,D-55020 MAINZ,GERMANY; UNIV HANNOVER,ZENTRUM STRAHLENSCHUTZ &amp; RADIOOKOL,D-30167 HANNOVER,GERMANY; PURDUE UNIV,DEPT CHEM,W LAFAYETTE,IN 47907; MUSEUM NATURKUNDE,INST MINERAL,D-10115 BERLIN,GERMANY; ETH HONGGERBERG,INST TEILCHENPHYS,PAUL SCHERRER INST,CH-8093 ZURICH,SWITZERLAND</t>
  </si>
  <si>
    <t>Max Planck Society; Leibniz University Hannover; Purdue University System; Purdue University; Leibniz Institut fur Evolutions und Biodiversitatsforschung; Swiss Federal Institutes of Technology Domain; ETH Zurich; Paul Scherrer Institute</t>
  </si>
  <si>
    <t>Neupert, Ulrik/C-4741-2012</t>
  </si>
  <si>
    <t>Neupert, Ulrik/0000-0001-6448-7602; Leya, Ingo/0000-0002-3843-6681</t>
  </si>
  <si>
    <t>DEPT CHEMISTRY/BIOCHEMISTRY, UNIV ARKANSAS, FAYETTEVILLE, AR 72701</t>
  </si>
  <si>
    <t>10.1111/j.1945-5100.1997.tb01567.x</t>
  </si>
  <si>
    <t>YG981</t>
  </si>
  <si>
    <t>WOS:A1997YG98100007</t>
  </si>
  <si>
    <t>Welten, KC; Alderliesten, C; vanderBorg, K; Lindner, L; Loeken, T; Schultz, L</t>
  </si>
  <si>
    <t>Lewis Cliff 86360: An Antarctic L-chondrite with a terrestrial age of 2.35 million years</t>
  </si>
  <si>
    <t>ICE-SHEET; METEORITE COLLECTION; COSMOGENIC NUCLIDES; EXPOSURE AGES; DRY-VALLEYS; BE-10; HISTORY; AL-26</t>
  </si>
  <si>
    <t>We measured the concentrations of the cosmogenic radionuclides Be-10 (half-life = 1.51 x 10(6) a), Al-26 (7.05 x 10(5) a) and Cl-36 (3.01 x 10(5) a) in Lewis Cliff(LEW) 86360, an L-chondrite from the Lewis Cliff stranding area, East Antarctica. In addition, the concentrations and isotopic compositions of He, Ne and Ar were measured. The combined results yield a terrestrial age of 2.35 +/- 0.15 Ma. Only one other stony meteorite with a similar terrestrial age (similar to 2 Ma) is known from the Allan Hills stranding area (ALH 88019), whereas all previously dated stony meteorites from Antarctica are younger than 1 Ma. We argue that LEW 86360 spent most of its terrestrial residence time deep inside the ice, near the base of the glacier, where ice flow rates are much lower than at the surface. The terrestrial ages of LEW 86360 and ALH 88019 are consistent with existing hypotheses concerning the stability and persistence of the East Antarctic ice sheet.</t>
  </si>
  <si>
    <t>UNIV UTRECHT, DEPT SUBATOM PHYS, NL-3508 TA UTRECHT, NETHERLANDS; MAX PLANCK INST CHEM, D-55020 MAINZ, GERMANY</t>
  </si>
  <si>
    <t>Utrecht University; Max Planck Society</t>
  </si>
  <si>
    <t>van der Borg, Klaas/W-6101-2018; van der Borg, Klaas/K-1990-2019</t>
  </si>
  <si>
    <t>van der Borg, Klaas/0000-0002-5999-2804; Welten, Kees/0000-0001-8577-6753</t>
  </si>
  <si>
    <t>10.1111/j.1945-5100.1997.tb01568.x</t>
  </si>
  <si>
    <t>WOS:A1997YG98100008</t>
  </si>
  <si>
    <t>Takeda, H</t>
  </si>
  <si>
    <t>Mineralogical records of early planetary processes on the howardite, eucrite, diogenite parent body with reference to Vesta</t>
  </si>
  <si>
    <t>ANTARCTIC ACHONDRITES; BASALTIC ACHONDRITES; BHOLGHATI HOWARDITE; CUMULATE EUCRITES; AR-39-AR-40 AGE; CRUST MODEL; ORIGIN; METEORITES; PETROLOGY; PYROXENE</t>
  </si>
  <si>
    <t>Mineralogical information recovered from the howardite, eucrite, diogenite (HED) meteorites was employed to reconstruct the history of the parent body and relate it to 4 Vesta. These interpreted crustal evolution processes were then compared to the expected geological features on the surface of a likely protoplanet, 4 Vesta. The original crustal materials of the HED parent body were preserved as mineral grains and lithic clasts, but in many eucrites, Fe/Mg ratios in pyroxenes were homogenized by diffusion after crystallization. The crystallization trend of the protocrust has been deciphered by (1) examining monomict and crystalline samples and using their mineralogical and chemical information to formulate a sequence of crystallization and cooling trends; and by (2) reconstructing the original crust prior to cratering events from lithic clasts and mineral fragments in polymict breccias such as howardites and polymict eucrites. Mineral components are identical, both in the individual KED and in polymict breccias, and no remnants of primitive materials were preserved in the polymict breccias. A layered crust model reconstructed from such breccias consists of an upper crust with extrusive lava-like eucrites that have been brecciated and metamorphosed, diogenite mantle, and cumulate eucrites of varying thickness between them. This model can be used to explain the surface geological features of Vesta observed from the Hubble space telescope. A large crater with diogenitic orthopyroxene at the crater floor is consistent with the deepest diogenitic layer of the layered crust model; and an underlying olivine layer is expected from early crystallized olivine in the crystal fractionation model. The old terrain of eucritic surface materials of Vesta can be howardites, polymict eucrites, or regolith-like eucrites produced from eucrites extruded and impacted on the surface. Partial melting models of eucrites seem to be favored by the rare-earth element (REE) chemistry and experimental studies. Unfortunately, partial melting models have not demonstrated how the HED parent body is converted to a layered crust without producing any metamorphosed primitive material in the layered crust. The origin of cumulate eucrites with systematic variation of textures and chemistries of pyroxene can be explained by the layered crust model with excavation and mixing of trapped liquid. Discovery of basaltic materials with Na-rich plagioclase and augite in iron meteorites, which are the products of partial melting, suggests that eucrites may be unique to a body that underwent large-scale differentiation and metamorphism.</t>
  </si>
  <si>
    <t>UNIV TOKYO,GRAD SCH SCI,INST MINERAL,TOKYO 113,JAPAN</t>
  </si>
  <si>
    <t>University of Tokyo</t>
  </si>
  <si>
    <t>Takeda, H (corresponding author), CHIBA INST TECHNOL,RES INST,2-17-1 TSUDANUMA,NARASHINO,CHIBA 275,JAPAN.</t>
  </si>
  <si>
    <t>10.1111/j.1945-5100.1997.tb01574.x</t>
  </si>
  <si>
    <t>WOS:A1997YG98100014</t>
  </si>
  <si>
    <t>Welten, KC; Lindner, L; vanderBorg, K; Loeken, T; Scherer, P; Schultz, L</t>
  </si>
  <si>
    <t>Cosmic-ray exposure ages of diogenites and the recent collisional history of the howardite, eucrite and diogenite parent body/bodies</t>
  </si>
  <si>
    <t>PRODUCTION-RATES; NOBLE-GASES; ANTARCTIC METEORITES; ELEMENT CHEMISTRY; NUMBER GENERATOR; CHONDRITES; ACHONDRITES; AL-26; BODY; INSIGHTS</t>
  </si>
  <si>
    <t>We determined the cosmic-ray exposure age of 20 diogenites from measured cosmogenic noble gas isotopes and calculated production rates of He-3, Ne-21 and Ar-38. The production rates were calculated on the basis of the measured chemical composition and the cosmogenic Ne-22/Ne-21 ratio of each sample. The shielding conditions of each sample were also checked on the basis of the measured Be-10 and Al-26 concentrations. The exposure ages range from 6 to 50 Ma but do not form a continuous distribution: ten ages cluster at 21-25 Ma and four at 35-42 Ma. The two diogenite clusters coincide with the 22 Ma and 38 Ma peaks in the exposure age distribution of eucrites and howardites. After the selection from literature data of 32 eucrites and 11 howardites with reliable ages, we find a total of 23 howardite, eucrite and diogenite (HED) group meteorites at 20-25 Ma and 10 at 35-42 Ma. The shape of the two peaks is consistent with single impact events, and random number statistics show that they are statistically significant at the 99% level. Altogether, this provides strong evidence for two major impact events 22 Ma and 39 Ma ago. Although these two events can explain more than half of all HED exposure ages, it takes at least five impact events to explain all ages &lt;50 Ma. An impact frequency of one per 10 Ma corresponds to projectiles of at least 2-4 km in diameter for Vesta and of 60-300 m for the 100 x smaller Vesta-derived ''vestoids.'' Based on the HED exposure-age distribution, the size distribution of the main-belt asteroids and the difference in size between Vesta and the kilometer size vestoids, we favor Vesta as the major source of HED meteorites, although some of the meteorites may have been ejected from the vestoids rather than directly from Vesta.</t>
  </si>
  <si>
    <t>UNIV UTRECHT,DEPT SUBATOM PHYS,NL-3508 TA UTRECHT,NETHERLANDS; MAX PLANCK INST CHEM,D-55020 MAINZ,GERMANY</t>
  </si>
  <si>
    <t>van der Borg, Klaas/K-1990-2019</t>
  </si>
  <si>
    <t>10.1111/j.1945-5100.1997.tb01579.x</t>
  </si>
  <si>
    <t>WOS:A1997YG98100019</t>
  </si>
  <si>
    <t>Storini, M; Cordaro, EG</t>
  </si>
  <si>
    <t>Italia/Chile Collaboration for LARC</t>
  </si>
  <si>
    <t>NUOVO CIMENTO DELLA SOCIETA ITALIANA DI FISICA C-COLLOQUIA ON PHYSICS</t>
  </si>
  <si>
    <t>VII Cosmic Physics National Conference</t>
  </si>
  <si>
    <t>OCT 26-28, 1994</t>
  </si>
  <si>
    <t>RIMINI, ITALY</t>
  </si>
  <si>
    <t>SOLAR</t>
  </si>
  <si>
    <t>An Antarctic Laboratory for Cosmic Pays (LARC) has been opened on the King George Island (Fildes Bay - Ardley Cove) during January 1991. The cosmic ray detector is a standard 6-NM-64 type. The present status of the LARC project and relevant scientific goals for Solar-Terrestrial Physics ape briefly outlined.</t>
  </si>
  <si>
    <t>Univ Rome La Sapienza 1, Dipartimento Fis, CNR, IFSI,Reparto Raggi Cosm, I-00185 Rome, Italy</t>
  </si>
  <si>
    <t>Consiglio Nazionale delle Ricerche (CNR); Istituto Nazionale Astrofisica (INAF); Sapienza University Rome</t>
  </si>
  <si>
    <t>Univ Rome La Sapienza 1, Dipartimento Fis, CNR, IFSI,Reparto Raggi Cosm, P A Moro 2, I-00185 Rome, Italy.</t>
  </si>
  <si>
    <t>SOC ITALIANA FISICA</t>
  </si>
  <si>
    <t>VIA SARAGOZZA, 12, I-40123 BOLOGNA, ITALY</t>
  </si>
  <si>
    <t>1124-1896</t>
  </si>
  <si>
    <t>NUOVO CIMENTO C</t>
  </si>
  <si>
    <t>Nuovo Cimento Soc. Ital. Fis. C-Colloq. Phys.</t>
  </si>
  <si>
    <t>ZF802</t>
  </si>
  <si>
    <t>WOS:000072934700020</t>
  </si>
  <si>
    <t>De Franceschi, G; De Santis, A; Cerrone, M; Chiappini, M; Palangio, P; Romeo, G; Ricci, G</t>
  </si>
  <si>
    <t>Riometry at the Italian Antarctic station of Terra Nova bay</t>
  </si>
  <si>
    <t>NUOVO CIMENTO DELLA SOCIETA ITALIANA DI FISICA C-GEOPHYSICS AND SPACE PHYSICS</t>
  </si>
  <si>
    <t>A solid-state riometer has been installed at Terra Nova Bay (74 degrees 42'S and 164 degrees 06' E) during the IX Italian Antarctic expedition (1993/1994) to provide, in the frame of the geophysical observatories, studies on the ionospheric absorption in the lower part of the ionosphere. This kind of measurements will integrate the already existing active vertical ionospheric sounding and the magnetic absolute vector observations, with the objective of investigating the state of the ionosphere-magnetosphere coupling. In order to evaluate the base disturbance to the riometer, a remote campaign has been performed at McCarthy Ridge, rather far from the base station, where no anthropic noise is expected. Preliminary data analysis confirms the good quality of the Antarctic riometer observations.</t>
  </si>
  <si>
    <t>Ist Nazl Geofis, I-00143 Roma, Italy</t>
  </si>
  <si>
    <t>De Franceschi, G (corresponding author), Ist Nazl Geofis, Vigna Murata 605, I-00143 Roma, Italy.</t>
  </si>
  <si>
    <t>ROMEO, Giovanni/0000-0002-5535-7803</t>
  </si>
  <si>
    <t>EDITRICE COMPOSITORI BOLOGNA</t>
  </si>
  <si>
    <t>VIA STALINGRADO 97/2, I-40128 BOLOGNA, ITALY</t>
  </si>
  <si>
    <t>0390-5551</t>
  </si>
  <si>
    <t>Nuovo Cimento Soc. Ital. Fis. C-Geophys. Space Phys.</t>
  </si>
  <si>
    <t>WOS:000072934700015</t>
  </si>
  <si>
    <t>Golovin, PN; Lukin, VV; Zatsepin, AG</t>
  </si>
  <si>
    <t>Frazil ice formation in summer Arctic fracture</t>
  </si>
  <si>
    <t>OKEANOLOGIYA</t>
  </si>
  <si>
    <t>INTERFACE</t>
  </si>
  <si>
    <t>The results of the observations of frazil ice formation in the Arctic fracture in summer are described. It is shown that the existence of the low saline water subsurface layer and its supercooling from the lower layer of cold and saline marine water due to differential heat and salt exchange across the pycnocline play the major role in frazil ice formation. The dependences of the intensity of frazil ice formation and of its form on the thermohaline stratification, velocity and direction of ice drift are described. Different physical regimes of frazil ice formation are analyzed. The values of heat and salt coefficients of exchange across the pycnocline are estimated.</t>
  </si>
  <si>
    <t>Arctic &amp; Antarctic Res Inst, St Petersburg 199226, Russia; PP Shirshov Oceanol Inst, Moscow, Russia</t>
  </si>
  <si>
    <t>Arctic &amp; Antarctic Research Institute; Russian Academy of Sciences; Shirshov Institute of Oceanology</t>
  </si>
  <si>
    <t>Golovin, PN (corresponding author), Arctic &amp; Antarctic Res Inst, St Petersburg 199226, Russia.</t>
  </si>
  <si>
    <t>0030-1574</t>
  </si>
  <si>
    <t>OKEANOLOGIYA+</t>
  </si>
  <si>
    <t>Okeanologiya</t>
  </si>
  <si>
    <t>YT267</t>
  </si>
  <si>
    <t>WOS:000071582600004</t>
  </si>
  <si>
    <t>Clarke, A; ProtheroThomas, E</t>
  </si>
  <si>
    <t>The influence of feeding on oxygen consumption and nitrogen excretion in the Antarctic nemertean Parborlasia corrugatus</t>
  </si>
  <si>
    <t>PHYSIOLOGICAL ZOOLOGY</t>
  </si>
  <si>
    <t>DYNAMIC ACTION SDA; NACELLA-CONCINNA STREBEL; METABOLIC-RATE; PROTEIN-SYNTHESIS; SUPRALITTORAL ISOPOD; CHANNEL CATFISH; LIGIA-PALLASII; PRIMARY AMINES; SEAWATER; AMMONIA</t>
  </si>
  <si>
    <t>The large nemertean Parborlasia corrugatus is common in nearshore benthic marine habitats around Antarctica, where it is an important predator and scavenger. Oxygen consumption and nitrogen excretion rates in worms freshly sampled from the field were low but similar to those reported for other polar marine ectotherms. Nitrogen was excreted primarily as ammonia (87%), with smaller amounts of urea (4%) and amines (9%). The O : N atomic ratio was low (10.4), indicating that free or protein-derived amino acids were important metabolic substrates. When worms were fed at ration levels ranging from 20% to 110% of body mass, both oxygen demand and ammonia excretion increased after feeding in a classic specific dynamic action response. Peak postprandial oxygen consumption was low (range, 1.5-2.6 times the prefeeding rate), and the duration of the specific dynamic action was unusually long (&gt;30 d). Both the energy used and the nitrogen excreted in the specific dynamic action scaled with meal size, although the fractions of ingested carbon and nitrogen used or lost were both very low, probably because of the large ration levels. We conclude that Parborlasia corrugatus has only a limited ability to increase its metabolic rate following a meal and, as a result, takes many days to process that meal fully.</t>
  </si>
  <si>
    <t>BRITISH ANTARCTIC SURVEY, HIGH CROSS, MADINGLEY RD, CAMBRIDGE CB3 0ET, ENGLAND.</t>
  </si>
  <si>
    <t>0031-935X</t>
  </si>
  <si>
    <t>PHYSIOL ZOOL</t>
  </si>
  <si>
    <t>Physiol. Zool.</t>
  </si>
  <si>
    <t>10.1086/515868</t>
  </si>
  <si>
    <t>Physiology; Zoology</t>
  </si>
  <si>
    <t>YF040</t>
  </si>
  <si>
    <t>WOS:A1997YF04000006</t>
  </si>
  <si>
    <t>Boyce, SJ; Clarke, A</t>
  </si>
  <si>
    <t>Effect of body size and ration on specific dynamic action in the Antarctic plunderfish, Harpagifer antarcticus Nybelin 1947</t>
  </si>
  <si>
    <t>METABOLIC COLD ADAPTATION; PLEURONECTES-PLATESSA L; OXYGEN-CONSUMPTION; ACTION SDA; NITROGEN-EXCRETION; PROTEIN-SYNTHESIS; CHANNEL CATFISH; BURMESE PYTHONS; PRIMARY AMINES; FISH</t>
  </si>
  <si>
    <t>The feeding energetics of the Antarctic spiny plunderfish (Harpagifer antarcticus) were examined with respect to the effect of both ration size and animal size. Fish of different sizes were fed single meals at one of two ration levels (2.5% wet body mass and satiation) to determine the maximum aerobic scope that could be elicited by the specific dynamic action. The excretion rates of ammonia, urea, and fluorescamine-positive substances were also monitored. Neither fish size nor ration had any effect on the factorial aerobic scope of feeding, which suggests that cellular metabolic processes associated with feeding were satiated by relatively small meals. The factorial scope in ammonia excretion was affected by both ration and fish size, indicating that respiration and excretion respond to a meal independently. The duration of the specific dynamic action response (240-390 h) increased with fish size but not ration, whereas both the time to reach the peak oxygen consumption and the duration of the ammonia response increased with ration but not fish size. The percentage of the ingested energy that was expended following feeding (the specific dynamic action coefficient) was high at low rations (approximately 56%) but lower (roughly 10%) at satiation rations. This is because the absolute energetic cost of processing a meal was largely independent of meal size. The change in O:N ratios after feeding was very ration-dependent; at low rations, O:N ratios increased, whereas at satiation rations, the O:N ratios decreased.</t>
  </si>
  <si>
    <t>Boyce, SJ (corresponding author), BRITISH ANTARCTIC SURVEY,HIGH CROSS,MADINGLEY RD,CAMBRIDGE CB3 0ET,ENGLAND.</t>
  </si>
  <si>
    <t>10.1086/515870</t>
  </si>
  <si>
    <t>WOS:A1997YF04000010</t>
  </si>
  <si>
    <t>Bolter, M; Blume, HP; Schneider, D; Beyer, L</t>
  </si>
  <si>
    <t>Soil properties and distributions of invertebrates and bacteria from King George Island (Arctowski Station), maritime Antarctic</t>
  </si>
  <si>
    <t>MOSS-TURF HABITAT; ARTHROPOD COMMUNITIES; COLLEMBOLA; MITES</t>
  </si>
  <si>
    <t>Soils of the Admiralty Bay region at King George Island, maritime Antarctic are described and analysed for invertebrates and microorganisms. Results showed a great variety of soils: cambisols, umbrisols, regosols, podzols, leptosols, gleysols and relic ornithogenic soils were found. Surface layers, especially of cambisols, umbrisols and podzols, showed a diverse fauna, governed by nematodes, collemboles and mites. The bacterial flora is analysed for total counts and biomass distribution in different layers using epifluorescence microscopy. Influences of soil organic matter can be described by different patterns of mean bacterial cell volumes related to soil cover and depth distributions.</t>
  </si>
  <si>
    <t>CHRISTIAN ALBRECHTS UNIV KIEL,INST PFLANZENERNAHRUNG &amp; BODENKUNDE,D-24098 KIEL,GERMANY</t>
  </si>
  <si>
    <t>University of Kiel</t>
  </si>
  <si>
    <t>Bolter, M (corresponding author), CHRISTIAN ALBRECHTS UNIV KIEL,INST POLAROKOL,WISCHHOFSTR 1-3,D-24148 KIEL,GERMANY.</t>
  </si>
  <si>
    <t>10.1007/s003000050191</t>
  </si>
  <si>
    <t>YC034</t>
  </si>
  <si>
    <t>WOS:A1997YC03400001</t>
  </si>
  <si>
    <t>Lake, SE; Burton, HR; Hindell, MA</t>
  </si>
  <si>
    <t>Influence of time of day and month on Weddell seal haul-out patterns at the Vestfold Hills, Antarctica</t>
  </si>
  <si>
    <t>A diurnal pattern in haul-out behaviour has been described for Weddell seals at McMurdo Sound, Antarctica, but regional and seasonal variations were previously unknown. Knowledge of activity patterns is important for standardising census methods and census data. This study quantified the diurnal pattern in haul-out behaviour of Weddell seals at the Vestfold Hills from October 1994 to March 1995. Sequential counts of seals on the ice showed that, between 0900 and 1930 hours, seal abundance differed up to 95%. Fewer seals were hauled out in the morning than in the afternoon. The maximum numbers of seals were hauled out at the warmest time of day. The diurnal cycle was less pronounced in the breeding season than in the moulting season. The findings indicated the importance of censusing Weddell seals after 1430 hours and before 1700 hours local time, especially in the moulting season. Correction factors are given for month and time of day.</t>
  </si>
  <si>
    <t>AUSTRALIAN ANTARCTIC DIV, KINGSTON, TAS 7050, AUSTRALIA; UNIV TASMANIA, DEPT ZOOL, HOBART, TAS 7001, AUSTRALIA</t>
  </si>
  <si>
    <t>Hindell, Mark A/C-8368-2013; Hindell, Mark A/K-1131-2013</t>
  </si>
  <si>
    <t>Hindell, Mark/0000-0002-7823-7185</t>
  </si>
  <si>
    <t>10.1007/s003000050194</t>
  </si>
  <si>
    <t>WOS:A1997YC03400004</t>
  </si>
  <si>
    <t>vanderMerwe, M; Chown, SL; Smith, VR</t>
  </si>
  <si>
    <t>Thermal tolerance limits in six weevil species (Coleoptera, Curculionidae) from sub-Antarctic Marion Island</t>
  </si>
  <si>
    <t>INSECT COLD-HARDINESS; PRINCE-EDWARD-ISLANDS; SUBZERO TEMPERATURES; FREEZING-TOLERANCE; WATER-BALANCE; ADAPTATIONS; DESICCATION; BEETLES; DROSOPHILIDAE; ARTHROPODS</t>
  </si>
  <si>
    <t>Supercooling points, lower lethal temperatures, and the effect of short-term exposures to low temperatures were examined during both winter and summer in the adults of six weevil species from three different habitats on Marion Island. Upper lethal limits and the effects of short-term exposure to high temperatures were also examined in summer-acclimatized adult individuals of these species. Bothrometopus elongatus, B. parvulus B. randi, Ectemnorhinus marioni, and E. similis were freeze tolerant, but had high lower lethal temperatures (-7 to -10 degrees C). Seasonal variation in these parameters was not pronounced. Physical conditions of the habitat appeared to have little effect on cold hardiness parameters because the Ectemnorhinus species occur in very wet habitats, whereas the Bothrometopus species inhabit drier areas. The adults of these weevil species are similar to other high southern latitude insects in that they are freeze tolerant, but with high lower lethal temperatures. In contrast, Palirhoeus eatoni, a supra-littoral species, avoided freezing and had a mean supercooling point of -15.5 +/- 0.94 degrees C (SE) in winter and -11.8 +/- 0.98 degrees C in summer. Survival of a constant low temperature of -8 degrees C also increased in this species from 6 h in summer to 27 h in winter. It is suggested that this strategy may be a consequence of the osmoregulatory requirements imposed on this species by its supra-littoral habitat. Upper lethal temperatures (31-34 degrees C) corresponded closely with maximum microclimate temperatures in all of the species. This indicates that the pronounced warming, accompanied by the increased insolation that has been recorded at Marion Island, may reduce survival of these species. These effects may be compounded as a consequence of predation by feral house mice on the weevils.</t>
  </si>
  <si>
    <t>UNIV STELLENBOSCH,DEPT BOT,ZA-7602 MATIELAND,SOUTH AFRICA</t>
  </si>
  <si>
    <t>Stellenbosch University</t>
  </si>
  <si>
    <t>vanderMerwe, M (corresponding author), UNIV PRETORIA,DEPT ZOOL &amp; ENTOMOL,ZA-0002 PRETORIA,SOUTH AFRICA.</t>
  </si>
  <si>
    <t>Chown, Steven L/H-3347-2011; Chown, Steven/ABD-7646-2021</t>
  </si>
  <si>
    <t>10.1007/s003000050196</t>
  </si>
  <si>
    <t>WOS:A1997YC03400006</t>
  </si>
  <si>
    <t>Selkirk, PM; Skotnicki, M; Adam, KD; Connett, MB; Dale, T; Joe, JW; Armstrong, J</t>
  </si>
  <si>
    <t>Genetic variation in Antarctic populations of the moss Sarconeurum glaciale</t>
  </si>
  <si>
    <t>MT</t>
  </si>
  <si>
    <t>Sixty-six isolates of the moss Sarconeurum glaciale were collected from sites in continental Antarctica at Ross Island. southern Victoria Land and the Vestfold Hills. Genetic variation within and among the populations was estimated using isozymes and random amplified polymorphic DNA (RAPD) technology. Isozyme results only reproducibly showed variation between the populations with one enzyme; RAPDs indicated significantly higher levels of genetic variability within and among the Vestfold Hills samples than in the Ross Sea region samples. A dendrogram produced from the RAPD bands suggested that the Ross Island and southern Victoria Land samples form one population, and those from the Vestfold Hills form a separate and more variable population, possibly resulting from separate colonisation events on the continent.</t>
  </si>
  <si>
    <t>UNIV WAIKATO, DEPT BIOL SCI, HAMILTON, NEW ZEALAND; AUSTRALIAN NATL UNIV, RES SCH BIOL SCI, CANBERRA, ACT 0220, AUSTRALIA</t>
  </si>
  <si>
    <t>University of Waikato; Australian National University</t>
  </si>
  <si>
    <t>Selkirk, PM (corresponding author), MACQUARIE UNIV, SCH BIOL SCI, SYDNEY, NSW 2109, AUSTRALIA.</t>
  </si>
  <si>
    <t>Connett, Marie/0000-0001-5016-9689</t>
  </si>
  <si>
    <t>WOS:A1997YC03400008</t>
  </si>
  <si>
    <t>Romano, N; Baldassini, MR; Terribili, FR; Abelli, L; Mastrolia, L; Mazzini, M</t>
  </si>
  <si>
    <t>Histological observations on lymphomyeloid organs of the Antarctic fish Trematomus bernacchii (Teleostei: Nototheniidae)</t>
  </si>
  <si>
    <t>LYMPHOID ORGANS; ENVIRONMENTAL-TEMPERATURE; PAGOTHENIA-BERNACCHII; ONTOGENY; SPLEEN</t>
  </si>
  <si>
    <t>Lymphomyeloid organs of the Antarctic fish Trematomus bernacchii were studied with the aim of analysing some morphological aspects related to adaptation to low environmental temperature. The thymus of T. bernacchii was flattened, incompletely lobated and scarcely regionalised. It was filled by lymphoid elements intermingled with stromal elements. The head kidney appeared highly vascularised and mainly lymphopoietic. The spleen appeared mainly erythropoietic, with scarcely developed areas of white pulp.</t>
  </si>
  <si>
    <t>Romano, N (corresponding author), UNIV TUSCIA, DIPARTIMENTO SCI AMBIENTALI, VIA SC LELLIS, I-01100 VITERBO, ITALY.</t>
  </si>
  <si>
    <t>ABELLI, LUIGI/B-1242-2013; romano, nicla/K-5010-2019</t>
  </si>
  <si>
    <t>ABELLI, LUIGI/0000-0002-0344-4841; romano, nicla/0000-0002-0155-8271</t>
  </si>
  <si>
    <t>10.1007/s003000050200</t>
  </si>
  <si>
    <t>WOS:A1997YC03400010</t>
  </si>
  <si>
    <t>Narinx, E; Baise, E; Gerday, C</t>
  </si>
  <si>
    <t>Subtilisin from psychrophilic Antarctic bacteria: characterization and site-directed mutagenesis of residues possibly involved in the adaptation to cold</t>
  </si>
  <si>
    <t>PROTEIN ENGINEERING</t>
  </si>
  <si>
    <t>subtilisin; psychrophile; Antarctic; cold adaptation</t>
  </si>
  <si>
    <t>BACILLUS-AMYLOLIQUEFACIENS SUBTILISIN; CRYSTAL-STRUCTURE; ALPHA-AMYLASE; EGLIN-C; RESOLUTION; STABILITY; COMPLEX; BPN'; THERMITASE; CARLSBERG</t>
  </si>
  <si>
    <t>A subtilisin excreted by the Antarctic Bacillus TA39 has been purified to homogeneity and characterised. Two independent genes subt1 and subt2 are present but only subt1 is expressed significantly in the culture medium, The enzyme displays the usual characteristics of cold enzymes i.e. a high catalytic efficiency at low and moderate temperatures and an increased thermosensitivity originating from a 3D structure probably more flexible than its mesophilic counterpart, This is corroborated by the analysis of the computerized structure which shows a significant decrease in the number and strength of intramolecular weak bonds such as salt bridges and aromatic interactions, The affinity for calcium is also almost three orders of magnitude lower than that of mesophilic subtilisin and the interactions with the solvent are significantly higher thanks to a large increase in the number of Asp residues in the loops connecting secondary structures, The relation between flexibility and activity was investigated by site-directed mutagenesis tending mainly to increase the rigidity of the molecular edifice through the incorporation of additional salt bridge, disulfide bridge, aromatic interaction and by increasing the affinity of the enzyme for calcium, An important stabilization of the molecular structure was achieved through a modification of a calcium ligand T85D. The thermostability of the mutated product expressed in a mesophilic Bacillus reaches that of mesophilic subtilisin. Most important is the fact that this mutation further enhances the specific activity by a factor close to 2 when compared to the wild type enzyme so that the overall activity of the mutated cold enzyme is about 20 times higher than that of mesophilic subtilisin, illustrating the fact that thermostability is not systematically inversely related to specific activity, This opens new perspectives in the use of cold enzymes in biotechnology.</t>
  </si>
  <si>
    <t>Univ Liege, Inst Chem B6, Biochem Lab, B-4000 Liege 1, Belgium</t>
  </si>
  <si>
    <t>Gerday, C (corresponding author), Univ Liege, Inst Chem B6, Biochem Lab, B-4000 Liege 1, Belgium.</t>
  </si>
  <si>
    <t>0269-2139</t>
  </si>
  <si>
    <t>PROTEIN ENG</t>
  </si>
  <si>
    <t>Protein Eng.</t>
  </si>
  <si>
    <t>10.1093/protein/10.11.1271</t>
  </si>
  <si>
    <t>Biochemistry &amp; Molecular Biology; Biotechnology &amp; Applied Microbiology</t>
  </si>
  <si>
    <t>YY097</t>
  </si>
  <si>
    <t>WOS:000072112300004</t>
  </si>
  <si>
    <t>Villeret, V; Chessa, JP; Gerday, C; VanBeeumen, J</t>
  </si>
  <si>
    <t>Preliminary crystal structure determination of the alkaline protease from the Antarctic psychrophile Pseudomonas aeruginosa</t>
  </si>
  <si>
    <t>protease; psychrophilic enzymes; X-ray crystallography</t>
  </si>
  <si>
    <t>ALTEROMONAS-HALOPLANCTIS A23; ALPHA-AMYLASE; CRYSTALLIZATION; ASTACIN</t>
  </si>
  <si>
    <t>A cold alkaline protease, isolated from an Antarctic Pseudomonas aeruginosa strain, has been purified and crystallized. Large crystals were obtained in the presence of PEG 6000 at pH 7 and pH 8. They belong to the space group P2(1)2(1)2(1). A com plete data set to 2.1 Angstrom resolution has been measured. The structure has been determined by the molecular replacement method using the coordinates of the mesophilic alkaline protease as a model. The molecular replacement solution displays a correlation coefficient of 0.39 and an R-factor of 0.48. Subsequent inspection of the electron density map in the active site region has confirmed the correctness of the solution. Model building and structure refinement will be initiated when the protease sequence becomes fully available. This is the second report, following one on an cu-amylase, of the preliminary crystallographic characterization of a psychrophilic enzyme.</t>
  </si>
  <si>
    <t>STATE UNIV GHENT, VAKGRP BIOCHEM FYSIOL &amp; MICROBIOL, LAB EIWITBIOCHEM &amp; EIWITENGN, B-9000 GHENT, BELGIUM; UNIV LIEGE, INST CHIM B6, BIOCHIM LAB, B-4000 LIEGE, BELGIUM</t>
  </si>
  <si>
    <t>Ghent University; University of Liege</t>
  </si>
  <si>
    <t>Villeret, Vincent/0000-0003-4504-056X</t>
  </si>
  <si>
    <t>1469-896X</t>
  </si>
  <si>
    <t>YF614</t>
  </si>
  <si>
    <t>WOS:A1997YF61400021</t>
  </si>
  <si>
    <t>Jones, GOL; Charles, K; Jarvis, MJ</t>
  </si>
  <si>
    <t>First mesospheric observations using an imaging Doppler interferometer adaptation of the Dynasonde at Halley, Antarctica</t>
  </si>
  <si>
    <t>RADIO SCIENCE</t>
  </si>
  <si>
    <t>FREQUENCY-DOMAIN INTERFEROMETRY; SPACED-ANTENNA; D-REGION; PARTIAL REFLECTIONS; RADAR MEASUREMENTS; RADIO-WAVES; IONOSPHERE; SCATTERING; MHZ; MF</t>
  </si>
  <si>
    <t>The digital ionospheric sounder, or dynasonde, located at the British Antarctic Survey's research station at Halley, Antarctica, has recently been operated as an imaging Doppler interferometer (IDI). The implementation of this mode of operation does not require any changes to the system hardware but involves a specially written sounding configuration and newly designed data analysis software. Using four independent antennas and two receivers, the signals returned from mesospheric altitudes are range-gated and processed using Doppler sorting and spatial interferometry. A three-dimensional (3-D) image of the scattering locations can then be built up for a region stretching to over 30 degrees from the zenith. The sky map locations and Doppler velocities of the individual scattering points are used to fit a 3-D velocity vector representing the motion of the neutral wind in the mesosphere. In this paper the radar hardware, sounding configuration, and data processing are described, and the relative merits of the IDI technique as applied at Halley are discussed. The characteristics of the scattering points are outlined, and initial neutral wind measurements are presented.</t>
  </si>
  <si>
    <t>Jones, GOL (corresponding author), British Antarctic Survey, NERC, High Cross,Madingley Rd, Cambridge CB3 0ET, England.</t>
  </si>
  <si>
    <t>o.jones@bas.ac.uk</t>
  </si>
  <si>
    <t>0048-6604</t>
  </si>
  <si>
    <t>RADIO SCI</t>
  </si>
  <si>
    <t>Radio Sci.</t>
  </si>
  <si>
    <t>10.1029/97RS01825</t>
  </si>
  <si>
    <t>Astronomy &amp; Astrophysics; Geochemistry &amp; Geophysics; Meteorology &amp; Atmospheric Sciences; Remote Sensing; Telecommunications</t>
  </si>
  <si>
    <t>YR257</t>
  </si>
  <si>
    <t>WOS:000071476700001</t>
  </si>
  <si>
    <t>Callaghan, PT; Eccles, CD; Seymour, JD</t>
  </si>
  <si>
    <t>An earth's field nuclear magnetic resonance apparatus suitable for pulsed gradient spin echo measurements of self-diffusion under Antarctic conditions</t>
  </si>
  <si>
    <t>REVIEW OF SCIENTIFIC INSTRUMENTS</t>
  </si>
  <si>
    <t>NMR; MOTION</t>
  </si>
  <si>
    <t>We describe an earth's field nuclear magnetic resonance apparatus which can be used to carry out pulsed gradient spin echo (PGSE) diffusion measurements. The instrument is portable and incorporates automated process control, allowing direct measurement of the Larmor precession. The use of a common clock for pulse sequencing, excitation pulse synthesis, and detection, results in a phase stability sufficient for accurate signal averaging. The analysis of PGSE data under the conditions of a weak detection field is discussed and measurements of diffusion are presented under both New Zealand and Antarctic conditions. The Antarctic results include an example of restricted diffusion of brine water in McMurdo Sound sea ice. (C) 1997 American Institute of Physics. [S0034-6748(97)04311-6].</t>
  </si>
  <si>
    <t>Callaghan, PT (corresponding author), MASSEY UNIV,DEPT PHYS,PALMERSTON NORTH,NEW ZEALAND.</t>
  </si>
  <si>
    <t>Seymour, Joseph D/E-8518-2012</t>
  </si>
  <si>
    <t>Seymour, Joseph/0000-0003-4264-5416</t>
  </si>
  <si>
    <t>CIRCULATION FULFILLMENT DIV, 500 SUNNYSIDE BLVD, WOODBURY, NY 11797-2999</t>
  </si>
  <si>
    <t>0034-6748</t>
  </si>
  <si>
    <t>REV SCI INSTRUM</t>
  </si>
  <si>
    <t>Rev. Sci. Instrum.</t>
  </si>
  <si>
    <t>10.1063/1.1148340</t>
  </si>
  <si>
    <t>Instruments &amp; Instrumentation; Physics, Applied</t>
  </si>
  <si>
    <t>Instruments &amp; Instrumentation; Physics</t>
  </si>
  <si>
    <t>YG093</t>
  </si>
  <si>
    <t>WOS:A1997YG09300048</t>
  </si>
  <si>
    <t>Jayatilake, GS; Baker, BJ; McClintock, JB</t>
  </si>
  <si>
    <t>Rhapsamine, a cytotoxin from the Antarctic sponge Leucetta leptorhapsis</t>
  </si>
  <si>
    <t>TETRAHEDRON LETTERS</t>
  </si>
  <si>
    <t>IMIDAZOLE ALKALOIDS; CALCAREOUS SPONGE; CHAGOSENSIS; MICRORAPHIS; COMPLEXES</t>
  </si>
  <si>
    <t>Bioassay guided fractionation of the cytotoxic crude extract from the antarctic sponge Leucetta leptorhapsis has resulted in the isolation of rhapsamine (1), a linear C28 polyene terminally substituted by 1,3-diaminoglycerol groups. (C) 1997 Elsevier Science Ltd.</t>
  </si>
  <si>
    <t>FLORIDA INST TECHNOL,DEPT CHEM,MELBOURNE,FL 32901; UNIV ALABAMA,DEPT BIOL,BIRMINGHAM,AL 35294</t>
  </si>
  <si>
    <t>0040-4039</t>
  </si>
  <si>
    <t>TETRAHEDRON LETT</t>
  </si>
  <si>
    <t>Tetrahedron Lett.</t>
  </si>
  <si>
    <t>OCT 27</t>
  </si>
  <si>
    <t>10.1016/S0040-4039(97)01802-9</t>
  </si>
  <si>
    <t>Chemistry, Organic</t>
  </si>
  <si>
    <t>YC437</t>
  </si>
  <si>
    <t>WOS:A1997YC43700010</t>
  </si>
  <si>
    <t>DeHaan, DO; Birks, JW</t>
  </si>
  <si>
    <t>Heterogeneous reactions of chlorine peroxide with halide ions</t>
  </si>
  <si>
    <t>POLAR STRATOSPHERIC CLOUDS; ANTARCTIC OZONE; ICE SURFACES; HYDROGEN-CHLORIDE; CHEMISTRY; NITRATE; HCL; KINETICS; WATER; ACID</t>
  </si>
  <si>
    <t>The heterogeneous reactivity of chlorine peroxide (ClOOCl) on halide-doped ice surfaces was studied using discharge-flow mass spectrometry over the temperature range 209-258 K. By monitoring Cl2O2+ parent ion signals, reactions were observed on ice doped with I-, Br-, Cl-, or F- ions. XCl was the only gas-phase product detected in each reaction, where X = dopant halide. Other products evidently remain bound at the ice surface and were not detected. The heterogeneous reaction ClOOCl + X- --&gt; XCl + products is proposed. Chloride-doped ice layers were made either by freezing aqueous solutions of HCl or NaCl on the flow tube walls or by adding HCl gas to pure ice layers. Thermodynamic considerations indicate that reaction surfaces below the NaX/H2O systems' eutectic points were mixtures of two solid phases (ice and NaX hydrate crystals), while liquid layers existed at HCl/ice surfaces under our conditions. Our measured ClOOCl reaction probabilities on solid surfaces ranged from gamma = 0.026 to gamma greater than or equal to 0.3 on NaI/ice surfaces, from gamma = 0.0016 to gamma = 0.064 on NaBr/ice surfaces (possibly temperature dependent), from gamma = 0.0009 to gamma = 0.0092 on NaCl/ice surfaces, and from gamma = 0.0006 to gamma = 0.0050 on NaF/ice surfaces. ClOOCl reaction probabilities measured on HCl/H2O liquid layers were as high as gamma = 0.0065, and on pure ice surfaces as high as gamma = 0.0011. In the absence of halide ions, there was no detectable reaction of ClOOCl on ice doped with nitric or sulfuric acid (gamma less than or equal to 4 x 10(-4)). Chlorine peroxide uptake was heavily time-dependent, especially on HCl/ice surfaces, indicating that these measurements of heterogeneous kinetics were limited by saturation and deactivation effects in the flow tube. Stratospheric reaction probabilities may therefore differ from those reported here.</t>
  </si>
  <si>
    <t>UNIV COLORADO,COOPERAT INST RES ENVIRONM SCI,BOULDER,CO 80309; UNIV COLORADO,DEPT CHEM &amp; BIOCHEM,BOULDER,CO 80309</t>
  </si>
  <si>
    <t>Birks, John/JTU-3573-2023; Birks, John/H-7451-2013</t>
  </si>
  <si>
    <t>Birks, John/0000-0003-1691-1354</t>
  </si>
  <si>
    <t>1155 16TH ST, NW, WASHINGTON, DC 20036</t>
  </si>
  <si>
    <t>OCT 23</t>
  </si>
  <si>
    <t>10.1021/jp970948o</t>
  </si>
  <si>
    <t>YD603</t>
  </si>
  <si>
    <t>WOS:A1997YD60300017</t>
  </si>
  <si>
    <t>Rex, M; Harris, NRP; von der Gathen, P; Lehmann, R; Braathen, GO; Reimer, E; Beck, A; Chipperfield, MP; Alfier, R; Allaart, M; OConnor, F; Dier, H; Dorokhov, V; Fast, H; Gil, M; Kyro, E; Litynska, Z; Mikkelsen, IS; Molyneux, MG; Nakane, H; Notholt, J; Rummukainen, M; Viatte, P; Wenger, J</t>
  </si>
  <si>
    <t>Prolonged stratospheric ozone loss in the 1995-96 Arctic winter</t>
  </si>
  <si>
    <t>POLAR VORTEX CONDITIONS; CHEMICAL DEPLETION; CHLORINE CHEMISTRY; HNO3</t>
  </si>
  <si>
    <t>It is well established that extensive depletion of ozone, initiated by heterogenous reactions on polar stratospheric clouds (PSCs) can occur in both the Arctic and Antarctic lower stratosphere(1-9). Moreover, it has been shown that ozone loss rates in the Arctic region in recent years reached values comparable to those over the Antarctic(8,9). But until now the accumulated ozone losses over the Arctic have been the smaller, mainly because the period of Arctic ozone loss has not-unlike over the Antarctic-persisted well into springtime(8-10). Here we report the occurrence-during the unusually cold 1995-96 Arctic winter-of the highest recorded chemical ozone loss over the Arctic region. Two new kinds of behaviour were observed. First, ozone loss at some altitudes was observed long after the last exposure to PSCs. This continued loss appears to be due to a removal of the nitrogen species that slow down chemical ozone depletion. Second, in another altitude range ozone loss rates decreased while PSCs were still present, apparently because of an early transformation of the ozone-destroying chlorine species into less active chlorinenitrate. The balance between these two counteracting mechanisms is probably a fine one, determined by small differences in wintertime stratospheric temperatures. If the apparent cooling trend in the Arctic stratosphere(11) is real, more dramatic ozone losses may occur in the future.</t>
  </si>
  <si>
    <t>EUROPEAN OZONE RES COORDINATING UNIT, CAMBRIDGE CB2 1HE, ENGLAND; UNIV CAMBRIDGE, DEPT CHEM, CTR ATMOSPHER SCI, CAMBRIDGE CB2 1EW, ENGLAND; NILU, N-2007 KJELLER, NORWAY; FREE UNIV BERLIN, INST METEOROL, D-12165 BERLIN, GERMANY; ROYAL NETHERLANDS METEOROL INST, SECT CLIMATE SCENARIOS &amp; OZONE, NL-3730 AE DE BILT, NETHERLANDS; UNIV WALES, DEPT PHYS, ABERYSTWYTH SY23 3BZ, DYFED, WALES; METEOROL OBSERV LINDENBERG, D-15864 LINDENBERG, GERMANY; CENT AEROL OBSERV, DOLGOPRUDNYI 141700, MOSCOW REGION, RUSSIA; ATMOSPHER ENVIRONM SERV, N YORK, ON M3H 5T4, CANADA; INST NACL TECN AEROESPACIAL, MADRID 28850, SPAIN; FINNISH METEOROL INST, ILMALA, FIN-99600 SODANKYLA, FINLAND; CTR AEROL, INST METEOROL &amp; WATER MANAGEMENT, PL-95119 LEGIONOWO, POLAND; DANISH METEOROL INST, DK-2100 COPENHAGEN O, DENMARK; METEOROL OFF, BRACKNELL RG12 2SZ, BERKS, ENGLAND; NATL INST ENVIRONM STUDIES, TSUKUBA, IBARAKI 305, JAPAN; SWISS METEOROL INST, STN AEROL PAYERNE, CH-1530 PAYERNE, SWITZERLAND; UNIV COLL DUBLIN, DEPT CHEM, BELFIELD 4, DUBLIN, IRELAND</t>
  </si>
  <si>
    <t>University of Cambridge; University of Cambridge; NILU; Free University of Berlin; Royal Netherlands Meteorological Institute; Aberystwyth University; Deutscher Wetterdienst; Environment &amp; Climate Change Canada; Meteorological Service of Canada; Finnish Meteorological Institute; Institute of Meteorology &amp; Water Management; Danish Meteorological Institute DMI; Met Office - UK; National Institute for Environmental Studies - Japan; Federal Office of Meteorology &amp; Climatology (MeteoSwiss); University College Dublin</t>
  </si>
  <si>
    <t>Rex, M (corresponding author), ALFRED WEGENER INST POLAR &amp; MARINE RES, POB 600149, D-14401 POTSDAM, GERMANY.</t>
  </si>
  <si>
    <t>Chipperfield, Martyn/H-6359-2013; Rex, Markus/A-6054-2009; von der Gathen, Peter/B-8515-2009; Notholt, Justus/P-4520-2016; Wenger, John/F-6662-2010</t>
  </si>
  <si>
    <t>Chipperfield, Martyn/0000-0002-6803-4149; Rex, Markus/0000-0001-7847-8221; von der Gathen, Peter/0000-0001-7409-1556; Notholt, Justus/0000-0002-3324-885X; Harris, Neil/0000-0003-1256-3006; Wenger, John/0000-0002-4109-976X; Nakane, Hideaki/0000-0002-9032-6105; O'Connor, Fiona/0000-0003-2893-4828</t>
  </si>
  <si>
    <t>10.1038/39849</t>
  </si>
  <si>
    <t>YC148</t>
  </si>
  <si>
    <t>WOS:A1997YC14800053</t>
  </si>
  <si>
    <t>Tie, XX; Granier, C; Randel, W; Brasseur, GP</t>
  </si>
  <si>
    <t>Effects of interannual variation of temperature on heterogeneous reactions and stratospheric ozone</t>
  </si>
  <si>
    <t>ANTARCTIC OZONE; MT-PINATUBO; MOUNT-PINATUBO; UNITED-STATES; DEPLETION; ERUPTION; AEROSOL; MODEL; HOLE; SIMULATION</t>
  </si>
  <si>
    <t>A two-dimensional chemical/dynamical/microphysical model is used to calculate the effect of temperature interannual variability on stratospheric ozone. Two effects associated with temperature variations are considered in this paper: First, the effect on the rate coefficient of heterogeneous reactions occurring at the surface of sulfate aerosols, in particular for the enhanced sulfate aerosols following the eruption of Mount Pinatubo, and second, the effect of temperature interannual variations on the formation of polar stratospheric clouds (PSCs) and the spring Antarctic ozone depletion. The interannual variabilities of ozone concentration affected by both the processes are evaluated. The model results show that during winter 1992-1993, stratospheric temperature at high latitudes in the northern hemisphere is colder than during winter 1991-1992, leading to a larger rate of heterogeneous conversion from inactive chlorine to active chlorine in sulfate aerosols during winter 1992-1993 than during winter 1991-1992 at northern high latitudes. As a result, ozone reduction due to heterogeneous reactions following the eruption of Mount Pinatubo is enhanced in a colder winter(1992-1993) and reduced in a warmer winter(1991-1992). This result indicates that the enhanced heterogeneous conversion associated with colder temperature can explain, in part, the large ozone depletion observed by the total ozone mapping spectrometer (TOMS) experiment during winter 1992-1993. The model results also show that during winters 1986 to 1990, the formation of PSCs over Antarctica exhibits a strong interannual variation, due to temperature variability. In the colder years (1987 and 1989) the surface area of PSCs (a major factor to determine the rate of heterogeneous conversion from inactive chlorine to active chlorine) increases, and ozone concentration decreases. In the warmer years (1986 and 1988) the results are opposite. The calculated ozone interannual variation is consistent with the satellite observation (TOMS), indicating that the interannual variation of the formation of PSCs likely plays an important role for the interannual variability of the spring Antarctic ozone hole.</t>
  </si>
  <si>
    <t>Tie, XX (corresponding author), NATL CTR ATMOSPHER RES, DIV ATMOSPHER CHEM, 1850 TABLE MESA DR, POB 3000, BOULDER, CO 80307 USA.</t>
  </si>
  <si>
    <t>Randel, William J/K-3267-2016; Granier, Claire/D-5360-2013</t>
  </si>
  <si>
    <t>OCT 20</t>
  </si>
  <si>
    <t>D19</t>
  </si>
  <si>
    <t>10.1029/97JD01556</t>
  </si>
  <si>
    <t>YC171</t>
  </si>
  <si>
    <t>WOS:A1997YC17100022</t>
  </si>
  <si>
    <t>Randeniya, LK; Vohralik, PF; Plumb, IC; Ryan, KR</t>
  </si>
  <si>
    <t>Heterogenous BrONO2 hydrolysis: Effect on NO2 columns and ozone at high latitudes in summer</t>
  </si>
  <si>
    <t>VISIBLE ABSORPTION-SPECTRA; MIDDLE ATMOSPHERE; CIRCULATION; CHEMISTRY; HOBR; STRATOSPHERE; RADIATION; TRANSPORT; IMPACT; MODEL</t>
  </si>
  <si>
    <t>The heterogeneous reaction, N2O5 + H2Oaerosol --&gt; 2HNO(3), is responsible for increasing [HOx] and repartitioning of active NOx into HNO3. Throughout much of the atmosphere, N2O5 is formed predominantly at night owing to the rapid photolysis of its precursor, NO3, in sunlit hours. Laboratory measurements have shown that BrONO2 + H2Oaerosol --&gt; HOBr + HNO3 (reaction (3)) also has the potential to cause repartitioning of ozone-depleting species, although better determination of gamma, the reaction probability, is still required for some stratospheric conditions. The diurnal behavior of N2O5 and BrONO2 are entirely different. In contrast to N2O5, BrONO2 is formed predominantly during the daytime. The result of (3) is to increase [HOBr] at the expense of [BrONO]. Photolysis of HOBr then leads to increased [OH] and increased O-3 loss. In this work two-dimensional calculations show clearly that the impact of (3) is greatest for high aerosol levels and for high latitudes in summer. The calculations have been used to determine the effects of increased aerosol loading on calculated NO2 columns in the Antarctic during summer and autumn of 1990, 1991, 1992 and 1993. It is shown that (3) could be responsible for reductions in NO2 columns during polar day comparable to those measured in 1992 and 1993 following the eruption of Mount Pinatubo. Reaction (3) results in only marginal changes to ozone catalytic loss cycles in 1990. However, for the high aerosol levels of 1992, the inclusion of this reaction results in up to 50% higher ozone loss rates in the 12 to 20 km range. This is caused predominantly by a large increase in [HOx] tempered by a reduction in loss due to NOx. Calculations in which transport terms were switched off showed that, between 12 and 20 km at 77.5 degrees N, local chemistry removes about 30% of the ozone between April and September compared with 20% when the effects of (3) are not included.</t>
  </si>
  <si>
    <t>MONASH UNIV, COOPERAT RES CTR SO HEMISPHERE METEOROL, CLAYTON, VIC 3168, AUSTRALIA</t>
  </si>
  <si>
    <t>Monash University</t>
  </si>
  <si>
    <t>Randeniya, LK (corresponding author), CSIRO, POB 218, BRADFIELD RD, LINDFIELD, NSW 2070, AUSTRALIA.</t>
  </si>
  <si>
    <t>10.1029/97JD01655</t>
  </si>
  <si>
    <t>WOS:A1997YC17100024</t>
  </si>
  <si>
    <t>Fischer, H; Waibel, AE; Welling, M; Wienhold, FG; Zenker, T; Crutzen, PJ; Arnold, F; Burger, V; Schneider, J; Bregman, A; Lelieveld, J; Siegmund, PC</t>
  </si>
  <si>
    <t>Observations of high concentrations of total reactive nitrogen (NOy) and nitric acid (HNO3) in the lower Arctic stratosphere during the stratosphere-troposphere experiment by aircraft measurements (STREAM) II campaign in February 1995</t>
  </si>
  <si>
    <t>WINTER POLAR STRATOSPHERES; MESOSCALE CONVECTIVE COMPLEX; DIODE-LASER SPECTROMETER; TRACE GAS MEASUREMENTS; ANTARCTIC STRATOSPHERE; MASS-SPECTROMETER; CARBON-MONOXIDE; ODD-NITROGEN; AASE-II; ICE PARTICLES</t>
  </si>
  <si>
    <t>Simultaneous in situ measurements of NOy, HNO3, O-3, N2O, and CO have been performed in the lower stratosphere during the Stratosphere-Troposphere Experiment by Aircraft Measurements (STREAM) II intensive winter campaign in February 1995 from Kiruna airport (northern Sweden) with a Cessna Citation II twinjet aircraft up to a maximum altitude of 12.8 km. The flights were coordinated with the Arctic Second European Stratospheric Arctic and Midlatitude Experiment (SESAME) winter campaign. Strongly elevated levels of total reactive nitrogen (NOy) and its most abundant contributing species, nitric acid (HNO3), with mixing ratios up to 9 parts per billion by volume (ppbv), were observed during all flights at altitudes near 12 km. On average, the measured NO concentrations exceed the expected levels by a factor of 2-3. Normal background NOy has been calculated from observed N2O mixing ratios using the NOy-N2O correlation reported for the undisturbed northern hemisphere. This indicates that subsidence of air in the vortex alone cannot explain these findings. We propose that the elevated NOy concentrations were caused by nitrification of the lower stratosphere associated with sedimentation and evaporation of polar stratospheric cloud particles that carry down HNO3 from higher altitudes, that is, from altitudes up to about 25 km.</t>
  </si>
  <si>
    <t>MAX PLANCK INST NUCL PHYS, D-69117 HEIDELBERG, GERMANY; UNIV UTRECHT, INST MARINE &amp; ATMOSPHER RES, NL-3584 CC UTRECHT, NETHERLANDS; ROYAL NETHERLANDS METEOROL INST, KNMI, NL-3730 AE DE BILT, NETHERLANDS</t>
  </si>
  <si>
    <t>Max Planck Society; Utrecht University; Royal Netherlands Meteorological Institute</t>
  </si>
  <si>
    <t>Fischer, H (corresponding author), MAX PLANCK INST CHEM, POSTFACH 3060, D-55020 MAINZ, GERMANY.</t>
  </si>
  <si>
    <t>Schneider, Johannes/A-2674-2010; Schneider, Johannes/JBJ-2119-2023; Crutzen, Paul J/F-6044-2012; Lelieveld, Johannes (Jos)/A-1986-2013</t>
  </si>
  <si>
    <t>Schneider, Johannes/0000-0001-7169-3973; Schneider, Johannes/0000-0001-7169-3973; Lelieveld, Johannes (Jos)/0000-0001-6307-3846</t>
  </si>
  <si>
    <t>10.1029/97JD02012</t>
  </si>
  <si>
    <t>WOS:A1997YC17100025</t>
  </si>
  <si>
    <t>Bevilacqua, RM; Aellig, CP; Debrestian, DJ; Fromm, MD; Hoppel, K; Lumpe, JD; Shettle, EP; Hornstein, JS; Randall, CE; Rusch, DW; Rosenfield, JE</t>
  </si>
  <si>
    <t>POAM II ozone observations in the Antarctic ozone hole in 1994, 1995, and 1996</t>
  </si>
  <si>
    <t>STRATOSPHERIC POLAR VORTEX; RECORD LOW OZONE; ATMOS/ATLAS-3 MEASUREMENTS; SOUTHERN-HEMISPHERE; UARS MLS; SAGE-II; INSTRUMENT; TRANSPORT; DEPLETION; DYNAMICS</t>
  </si>
  <si>
    <t>We present an overview of Polar Ozone and Aerosol Measurement (FOAM) II satellite-based observations of ozone in the Antarctic ozone hole in 1994, 1995, and 1996. The FOAM II observations are consistent with previous observations suggesting that ozone loss in the ozone hole is confined to the polar vortex. Ozone concentrations are observed to decrease by nearly a factor of 10 near 20 km during the ozone hole formation period, and a reduction in ozone was observed up to 24 km. The timing of ozone loss and recovery was similar in each year. Ozone concentrations begin to decrease in July, and the period of largest depletion observed by FOAM II occurs between early September and early October, when the observations are obtained at high southern latitudes (82(0)-88(0)S) near the vortex center. However, ozone concentrations were consistently lower (by about 10%) in 1996, throughout the atone hole altitude region and time period, than in the other two years. We have also used the POAM II observations to compute vertical profiles of monthly averaged ozone photochemical loss rates as a function of potential temperature in August (450-800 K); and September (450-700 K) of each year, incorporating a correction for diabatic descent. We find that the ozone loss rates are not significantly different from zero in August 1994 at any potential temperature level. However, we do find significant chemical loss in August 1995 below 600 K, and in August 1996 at all levels up to 700 K. Maximum monthly averaged ozone chemical loss rates occurred in September near 500 K in each year (1994: 0.1 +/- 0.004 parts per million by volume per day (ppmv/d); 1995 and 1996: 0.08 +/- 0.004 ppmv/d). Generally, in September, loss rates were larger in 1994 than in 1995 and 1996 below 550 K, and above 550 K the largest loss rates occurred in 1996. We find significant chemical loss up to at least 706 K in September in all three years. Finally, the FOAM II observations show that in late spring, after the ozone hole chemical processing has been completed, ozone mixing ratios are lower inside the Antarctic vortex (relative to outside the vortex) at all levels between at least 450 K and 1500 K, presumably resulting from a combination of dynamical and chemical effects.</t>
  </si>
  <si>
    <t>COMPUTAT PHYS INC, FAIRFAX, VA 22301 USA; UNIV COLORADO, ATMOSPHER &amp; SPACE PHYS LAB, BOULDER, CO 80309 USA; GEN SCI CORP, LAUREL, MD USA; GEORGE MASON UNIV, INST COMPUTAT SCI &amp; INFORMAT, FAIRFAX, VA 22030 USA</t>
  </si>
  <si>
    <t>University of Colorado System; University of Colorado Boulder; George Mason University</t>
  </si>
  <si>
    <t>Bevilacqua, RM (corresponding author), USN, RES LAB, 4555 OVERLOOK AVE SW, CODE 7220, WASHINGTON, DC 20375 USA.</t>
  </si>
  <si>
    <t>Fromm, Michael/F-4639-2010; RANDALL, CORA/L-8760-2014</t>
  </si>
  <si>
    <t>RANDALL, CORA/0000-0002-4313-4397</t>
  </si>
  <si>
    <t>10.1029/97JD01623</t>
  </si>
  <si>
    <t>WOS:A1997YC17100034</t>
  </si>
  <si>
    <t>Fromm, MD; Lumpe, JD; Bevilacqua, RM; Shettle, EP; Hornstein, J; Massie, ST; Fricke, KH</t>
  </si>
  <si>
    <t>Observations of Antarctic polar stratospheric clouds by POAM II: 1994-1996</t>
  </si>
  <si>
    <t>SAM-II; AEROSOL; OZONE; DEPLETION; DISTRIBUTIONS; INSTRUMENT; LIDAR; PSCS</t>
  </si>
  <si>
    <t>The Polar Ozone and Aerosol Measurement (FOAM) II solar occultation instrument has made extensive measurements of polar stratospheric clouds (PSCs) since launch in September 1993. In a polar orbit similar to that of the Stratospheric Aerosol Measurement (SAM) II experiment but measuring to within 2 degrees latitude of the south pole, FOAM II observations of PSCs provide a valuable geographic and temporal extension of the SAM II PSC climatology. The cloud detection algorithm used to identify PSCs from FOAM II measurements is described. FOAM II PSC data are also examined in comparison with coincident lidar PSC observations. Results from the 1994 to 1996 Antarctic fall/winter/spring seasons are presented and related qualitatively to the SAM II PSC climatology. The frequency of PSC occurrence increases during the Antarctic winter, reaching a maximum of about 71% of all FOAM II measurements in August. There is a strong longitudinal variation in the cloud frequency, which is closely related to longitudinal temperature patterns A broad minimum in PSC frequency is centered near the international dateline and a broad maximum is centered about 315 degrees E, in:the lee of the Antarctic Peninsula, where the PSC frequency is about twice that near the minimum. In May, PSCs are observed at an average altitude of 24 km, with the altitudes moving downward as the altitude of the coldest air descends within the polar vortex during the winter. By October the average PSC altitude is 17 km.</t>
  </si>
  <si>
    <t>USN, RES LAB, DIV REMOTE SENSING, WASHINGTON, DC 20375 USA; NATL CTR ATMOSPHER RES, BOULDER, CO 80307 USA; UNIV BONN, INST PHYS, D-53115 BONN, GERMANY</t>
  </si>
  <si>
    <t>United States Department of Defense; United States Navy; Naval Research Laboratory; National Center Atmospheric Research (NCAR) - USA; University of Bonn</t>
  </si>
  <si>
    <t>Fromm, MD (corresponding author), COMPUTAT PHYS INC, 2750 PROSPER AVE, FAIRFAX, VA 22031 USA.</t>
  </si>
  <si>
    <t>Fromm, Michael/F-4639-2010</t>
  </si>
  <si>
    <t>10.1029/97JD00794</t>
  </si>
  <si>
    <t>WOS:A1997YC17100035</t>
  </si>
  <si>
    <t>Gerday, C; Aittaleb, M; Arpigny, JL; Baise, E; Chessa, JP; Garsoux, G; Petrescu, I; Feller, G</t>
  </si>
  <si>
    <t>Psychrophilic enzymes: a thermodynamic challenge</t>
  </si>
  <si>
    <t>BIOCHIMICA ET BIOPHYSICA ACTA-PROTEIN STRUCTURE AND MOLECULAR ENZYMOLOGY</t>
  </si>
  <si>
    <t>psychrophile; adaptation to cold; Antarctic microorganism</t>
  </si>
  <si>
    <t>ALTEROMONAS-HALOPLANCTIS A23; ALPHA-AMYLASE; COLD-SHOCK; NUCLEOTIDE-SEQUENCE; ANTARCTIC BACTERIA; GLOBULAR-PROTEINS; STATE; PURIFICATION; DENATURATION; GENES</t>
  </si>
  <si>
    <t>Psychrophilic microorganisms, hosts of permanently cold habitats, produce enzymes which are adapted to work at low temperatures. When compared to their mesophilic counterparts, these enzymes display a higher catalytic efficiency over a temperature range of roughly 0-30 degrees C and a high thermosensitivity. The molecular characteristics of cold enzymes originating from Antarctic bacteria have been approached through protein modelling and X-ray crystallography. The deduced three-dimensional structures of cold alpha-amylase, beta-lactamase, lipase and subtilisin have been compared to their mesophilic homologs. It appears that the molecular adaptation resides in a weakening of the intramolecular interactions, and in some cases in an increase of the interaction with the solvent, leading to more flexible molecular edifices capable of performing catalysis at a lower energy cost. (C) 1997 Elsevier Science B.V.</t>
  </si>
  <si>
    <t>Gerday, C (corresponding author), UNIV LIEGE,BIOCHEM LAB,INST CHEM,B-4000 LIEGE,BELGIUM.</t>
  </si>
  <si>
    <t>0167-4838</t>
  </si>
  <si>
    <t>BBA-PROTEIN STRUCT M</t>
  </si>
  <si>
    <t>Biochim. Biophys. Acta-Protein Struct. Molec. Enzym.</t>
  </si>
  <si>
    <t>OCT 17</t>
  </si>
  <si>
    <t>10.1016/S0167-4838(97)00093-9</t>
  </si>
  <si>
    <t>YG312</t>
  </si>
  <si>
    <t>WOS:A1997YG31200003</t>
  </si>
  <si>
    <t>Muller, R; Crutzen, PJ; Grooss, JU; Bruhl, C; Russell, JM; Gernandt, H; McKenna, DS; Tuck, AF</t>
  </si>
  <si>
    <t>Severe chemical ozone loss in the Arctic during the winter of 1995-96</t>
  </si>
  <si>
    <t>POLAR VORTEX CONDITIONS; DEPLETION; STRATOSPHERE; ANTARCTICA; LIDAR; MLS</t>
  </si>
  <si>
    <t>Severe stratospheric ozone depletion is the result of perturbations of chlorine chemistry owing to the presence of polar stratospheric clouds (PSCs) during periods of Limited exchange of air between the polar vortex and midlatitudes and partial exposure of the vortex to sunlight(1-4). These conditions are consistently encountered over Antarctica during the austral spring. In the Arctic, extensive PSC formation occurs only during the coldest winters, when temperatures fall as low as those regularly found in the Antarctic(1,5,6). Moreover, ozone levels in late winter and early spring are significantly higher than in the corresponding austral season(1,7,8), and usually strongly perturbed by atmospheric dynamics(9-12). For these reasons, chemical ozone loss in the Arctic is difficult to quantify. Here we use the correlation between CH4 and O-3 in the Arctic polar vortex to discriminate between changes in ozone concentration due to chemical and dynamical effects(10). Our results indicate that 120-160 Dobson units (DU) of ozone were chemically destroyed between January and March 1996-a loss greater than observed in Antarctica in 1985, when the 'ozone hole' was first reported(13,14). This loss outweighs the expected increase in total ozone over the same period through dynamical effects, leading to an observed(6) net decrease of about 50 DU. This ozone loss arises through the simultaneous occurrence of extremely low Arctic stratospheric temperatures(6,15) and large stratospheric chlorine loadings. Comparable depletion is likely to recur because stratospheric cooling(16,17) and elevated chlorine concentrations(5,18) are expected to persist for several decades.</t>
  </si>
  <si>
    <t>MAX PLANCK INST CHEM, D-55020 MAINZ, GERMANY; HAMPTON UNIV, DEPT PHYS, HAMPTON, VA 23658 USA; ALFRED WEGENER INST POLAR &amp; MARINE RES, D-14473 POTSDAM, GERMANY; NOAA, AERON LAB, BOULDER, CO 80303 USA</t>
  </si>
  <si>
    <t>Max Planck Society; Hampton University; Helmholtz Association; Alfred Wegener Institute, Helmholtz Centre for Polar &amp; Marine Research; National Oceanic Atmospheric Admin (NOAA) - USA</t>
  </si>
  <si>
    <t>Muller, R (corresponding author), FORSCHUNGSZENTRUM JULICH, FORSCHUNGSZENTRUM, INST STRATOSPHER CHEM ICG 1, POSTFACH 1913, D-52425 JULICH, GERMANY.</t>
  </si>
  <si>
    <t>Tuck, Adrian/F-6024-2011; Grooß, Jens-Uwe/A-7315-2013; Grooß, Jens-Uwe/N-3305-2019; Crutzen, Paul J/F-6044-2012; Müller, Rolf/ABA-8213-2021; McKenna, Daniel/E-7806-2014</t>
  </si>
  <si>
    <t>Tuck, Adrian/0000-0002-2074-0538; Grooß, Jens-Uwe/0000-0002-9485-866X; Grooß, Jens-Uwe/0000-0002-9485-866X; Müller, Rolf/0000-0002-5024-9977; McKenna, Daniel/0000-0002-4360-4782</t>
  </si>
  <si>
    <t>OCT 16</t>
  </si>
  <si>
    <t>10.1038/39564</t>
  </si>
  <si>
    <t>YA959</t>
  </si>
  <si>
    <t>WOS:A1997YA95900049</t>
  </si>
  <si>
    <t>Gard, E; Mayer, JE; Morrical, BD; Dienes, T; Fergenson, DP; Prather, KA</t>
  </si>
  <si>
    <t>Real-time analysis of individual atmospheric aerosol particles: Design and performance of a portable ATOFMS</t>
  </si>
  <si>
    <t>ANALYTICAL CHEMISTRY</t>
  </si>
  <si>
    <t>FLIGHT MASS-SPECTROMETRY; CHEMICAL-ANALYSIS; ANTARCTIC OZONE; IONIZATION; SPECTROSCOPY; DEPOSITION; CHEMISTRY; DEPLETION; CHLORINE; CLOUDS</t>
  </si>
  <si>
    <t>Two portable aerosol time-of-flight mass spectrometers (ATOFMS) of identical design are described, These instruments are powerful new tools for providing temporal and spatial information on the origin, reactivity, and fate of atmospheric aerosols, Each is capable of analyzing the size and composition of individual particles from a polydisperse aerosol in real-time, Particles are introduced into the instrument through a particle beam interface, sized by measuring the delay time between two scattering lasers, and compositionally analyzed using a dual-polarity laser desorption/ionization time-of-flight mass spectrometer, These are the first dual-ion TOFMS instruments to utilize a dual reflectron design, The instruments measure 72 in. long x 28 in. wide x 60 in. high and weigh similar to 500 Ib. Pneumatic tires allow them to be transported through standard doorways, elevators, and handicap ramps, granting access to virtually any location. Furthermore, because of rugged construction they will be able to operate during transport by automobile, boat, or aircraft.</t>
  </si>
  <si>
    <t>UNIV CALIF RIVERSIDE,DEPT CHEM,RIVERSIDE,CA 92521</t>
  </si>
  <si>
    <t>University of California System; University of California Riverside</t>
  </si>
  <si>
    <t>Prather, Kimberly Ann/A-3892-2008</t>
  </si>
  <si>
    <t>Prather, Kimberly Ann/0000-0003-3048-9890</t>
  </si>
  <si>
    <t>0003-2700</t>
  </si>
  <si>
    <t>ANAL CHEM</t>
  </si>
  <si>
    <t>Anal. Chem.</t>
  </si>
  <si>
    <t>OCT 15</t>
  </si>
  <si>
    <t>10.1021/ac970540n</t>
  </si>
  <si>
    <t>YA446</t>
  </si>
  <si>
    <t>WOS:A1997YA44600001</t>
  </si>
  <si>
    <t>Sedwick, PN; DiTullio, GR</t>
  </si>
  <si>
    <t>Regulation of algal blooms in Antarctic shelf waters by the release of iron from melting sea ice</t>
  </si>
  <si>
    <t>EQUATORIAL PACIFIC-OCEAN; PHYTOPLANKTON BIOMASS; SOUTHERN-OCEAN; WEDDELL SEA; ROSS SEA; SPATIAL PATTERNS; EDGE; DISTRIBUTIONS; ZONE; NUTRIENTS</t>
  </si>
  <si>
    <t>During summer 1995-96, we measured iron in the water column and conducted iron-enrichment bottle-incubation experiments at a station in the central Ross Sea (76 degrees 30'S, 170 degrees 40'W), first, in the presence of melting sea ice, and 17 days later, in ice-free conditions. We observed a striking temporal change in mixed-layer dissolved iron concentrations at this station, from 0.72-2.3 nM with sea ice present, to 0.16-0.17 nM in ice-free conditions. These changes were accompanied by a significant drawdown in macronutrients and an approximate doubling of algal (diatom) biomass. Our incubation experiments suggest that conditions were iron-replete in the presence of sea ice, and iron-deficient in the absence of sea ice. We surmise that bioavailable iron was released into seawater from the melting sea ice, stimulating phytoplankton production and the biological removal of dissolved iron from the mixed layer, until iron-limited conditions developed. These observations suggest that the episodic release of bioavailable iron from melting sea ice is an important factor regulating phytoplankton production, particularly ice-edge blooms, in seasonally ice-covered Antarctic waters.</t>
  </si>
  <si>
    <t>UNIV CHARLESTON,GRICE MARINE BIOL LAB,CHARLESTON,SC 29412</t>
  </si>
  <si>
    <t>College of Charleston</t>
  </si>
  <si>
    <t>Sedwick, PN (corresponding author), ANTARCTIC CRC,GPO BOX 252-80,HOBART,TAS 7001,AUSTRALIA.</t>
  </si>
  <si>
    <t>10.1029/97GL02596</t>
  </si>
  <si>
    <t>YB602</t>
  </si>
  <si>
    <t>WOS:A1997YB60200020</t>
  </si>
  <si>
    <t>Matrai, PA; Vernet, M</t>
  </si>
  <si>
    <t>Dynamics of the vernal bloom in the marginal ice zone of the Barents Sea: Dimethyl sulfide and dimethylsulfoniopropionate budgets</t>
  </si>
  <si>
    <t>BELGIAN COASTAL WATERS; PHAEOCYSTIS-POUCHETII; OCEANIC DIMETHYLSULFIDE; COCCOLITHOPHORE BLOOM; MARINE-PHYTOPLANKTON; ARCTIC ATMOSPHERE; ANTARCTIC OCEANS; ESTUARINE WATERS; DISSOLVED DMSP; SULFUR</t>
  </si>
  <si>
    <t>Phytoplankton is known to be a I;ey element in the production and eventual oceanic efflux of dimethyl sulfide (DMS) to the atmosphere. We hypothesized that the alternation of Phaeocystis pouchetii and diatoms, the two major algal components of the spring bloom, would modulate the input of particulate organic sulfur (POS), dimethylsulfoniopropionate (DMSP), and DMS into the mixed layer of the marginal ice zone. A bloom of diatoms is expected to present similar pathways but to have very different rates of POS/DMSP/DMS production and POS/DMSP sinking and no or low DMS flux to the atmosphere as contrasted to the cycling occurring during the P. pouchetii phase of the bloom. Our initial hypothesis cannot be accepted based on our observations in the Barents Sea during the spring of 1993. The contribution of diatoms to the water column budgets of DMSP and DMS was significant and cannot be overlooked. We suggest that the physiological stage of the bloom is perhaps more important to biogeochemical cycling than its phytoplankton species composition in controlling DMSP and DMS fluxes in Arctic waters. Loss of particulate DMSP in the mixed layer was mainly by release into the dissolved pool and by sedimentation rather than by grazing, except in ice-free waters. Cycling of DMS in the mixed layer was predominantly biological in ice-free waters, while in Polar Front waters, ventilation was proportionally more important due to depressed microbiology.</t>
  </si>
  <si>
    <t>Bigelow Lab Ocean Sci, W Boothbay Harbor, ME 04575 USA; Univ Calif San Diego, Scripps Inst Oceanog, Div Marine Res, La Jolla, CA 92093 USA</t>
  </si>
  <si>
    <t>Bigelow Laboratory for Ocean Sciences; University of California System; University of California San Diego; Scripps Institution of Oceanography</t>
  </si>
  <si>
    <t>Matrai, PA (corresponding author), Bigelow Lab Ocean Sci, McKown Point Rd, W Boothbay Harbor, ME 04575 USA.</t>
  </si>
  <si>
    <t>C10</t>
  </si>
  <si>
    <t>10.1029/96JC03870</t>
  </si>
  <si>
    <t>YL698</t>
  </si>
  <si>
    <t>WOS:000070983400006</t>
  </si>
  <si>
    <t>Chattopadhyay, MK; Jagannadham, MV; Vairamani, M; Shivaji, S</t>
  </si>
  <si>
    <t>Carotenoid pigments of an Antarctic psychrotrophic bacterium Micrococcus roseus: Temperature dependent biosynthesis, structure, and interaction with synthetic membranes</t>
  </si>
  <si>
    <t>BIOCHEMICAL AND BIOPHYSICAL RESEARCH COMMUNICATIONS</t>
  </si>
  <si>
    <t>SCHIRMACHER OASIS; LIPID-MEMBRANES; BETA-CAROTENE; SPIN-LABEL; SP-NOV; SOILS; IDENTIFICATION</t>
  </si>
  <si>
    <t>Pigmentation in a psychrotrophic M. roseus was found to be increased when the bacteria were grown at 5 degrees C as compared to its pigmentation at 25 degrees C. In addition more polar pigments were synthesised at low temperature. The pigments were identified as bacterioruberins and were demonstrated to bind to synthetic membranes of phosphatidylcholine with almost equal affinity, irrespective of the polarity of the pigments. (C) 1997 Academic Press.</t>
  </si>
  <si>
    <t>CTR CELLULAR &amp; MOL BIOL,HYDERABAD 500007,ANDHRA PRADESH,INDIA; INDIAN INST CHEM TECHNOL,HYDERABAD 500007,ANDHRA PRADESH,INDIA</t>
  </si>
  <si>
    <t>Council of Scientific &amp; Industrial Research (CSIR) - India; CSIR - Centre for Cellular &amp; Molecular Biology (CCMB); Council of Scientific &amp; Industrial Research (CSIR) - India; CSIR - Indian Institute of Chemical Technology (IICT)</t>
  </si>
  <si>
    <t>Jagannadham, Medicharla V. V./AAW-6773-2021</t>
  </si>
  <si>
    <t>Vairamani, Mariappanadar/0000-0002-8356-6258; shivaji, sisinthy/0000-0003-0376-4658</t>
  </si>
  <si>
    <t>ACADEMIC PRESS INC ELSEVIER SCIENCE</t>
  </si>
  <si>
    <t>0006-291X</t>
  </si>
  <si>
    <t>BIOCHEM BIOPH RES CO</t>
  </si>
  <si>
    <t>Biochem. Biophys. Res. Commun.</t>
  </si>
  <si>
    <t>OCT 9</t>
  </si>
  <si>
    <t>10.1006/bbrc.1997.7433</t>
  </si>
  <si>
    <t>YB131</t>
  </si>
  <si>
    <t>WOS:A1997YB13100016</t>
  </si>
  <si>
    <t>AlvarezMuniz, J; Zas, E</t>
  </si>
  <si>
    <t>Cherenkov radio pulses from EeV neutrino interactions: the LPM effect</t>
  </si>
  <si>
    <t>PHYSICS LETTERS B</t>
  </si>
  <si>
    <t>Cherenkov radiation; LPM effect; electromagnetic showers; Neutrino detection</t>
  </si>
  <si>
    <t>ULTRAHIGH-ENERGY NEUTRINOS; CASCADE SHOWERS; ANTARCTIC ICE; DETECTORS; LEAD</t>
  </si>
  <si>
    <t>We study the implications of the LPM effect for the Cherenkov radiation of EeV electromagnetic showers in the coherent radiowave regime for ice. We show that for showers above 100 PeV the electric field scales with shower energy but has a markedly narrower angular distribution than for lower energy showers. We give an electric field frequency and angular spectrum parameterization valid for showers having energy up to the EeV regime and discuss the implications for neutrino detectors based on arrays of radio antennas. Implications of the LPM effect for under water neutrino detectors in project are also briefly addressed. (C) 1997 Elsevier Science B.V.</t>
  </si>
  <si>
    <t>AlvarezMuniz, J (corresponding author), UNIV SANTIAGO, DEPT FIS PARTICULAS, E-15706 SANTIAGO DE COMPOSTELA, SPAIN.</t>
  </si>
  <si>
    <t>Alvarez-Muniz, Jaime/H-1857-2015; Zas, Enrique/I-5556-2015</t>
  </si>
  <si>
    <t>Alvarez-Muniz, Jaime/0000-0002-2367-0803; Zas, Enrique/0000-0002-4430-8117</t>
  </si>
  <si>
    <t>0370-2693</t>
  </si>
  <si>
    <t>PHYS LETT B</t>
  </si>
  <si>
    <t>Phys. Lett. B</t>
  </si>
  <si>
    <t>10.1016/S0370-2693(97)01009-5</t>
  </si>
  <si>
    <t>Astronomy &amp; Astrophysics; Physics, Nuclear; Physics, Particles &amp; Fields</t>
  </si>
  <si>
    <t>Astronomy &amp; Astrophysics; Physics</t>
  </si>
  <si>
    <t>YF991</t>
  </si>
  <si>
    <t>WOS:A1997YF99100030</t>
  </si>
  <si>
    <t>[Anonymous]</t>
  </si>
  <si>
    <t>Warming threatens Antarctic life</t>
  </si>
  <si>
    <t>CHEMISTRY &amp; INDUSTRY</t>
  </si>
  <si>
    <t>WILEY PERIODICALS, INC</t>
  </si>
  <si>
    <t>ONE MONTGOMERY ST, SUITE 1200, SAN FRANCISCO, CA 94104 USA</t>
  </si>
  <si>
    <t>0009-3068</t>
  </si>
  <si>
    <t>2047-6329</t>
  </si>
  <si>
    <t>CHEM IND-LONDON</t>
  </si>
  <si>
    <t>Chem. Ind.</t>
  </si>
  <si>
    <t>OCT 6</t>
  </si>
  <si>
    <t>Chemistry, Applied</t>
  </si>
  <si>
    <t>YA132</t>
  </si>
  <si>
    <t>WOS:A1997YA13200014</t>
  </si>
  <si>
    <t>Regoli, F; Nigro, M; Bertoli, E; Principato, G; Orlando, E</t>
  </si>
  <si>
    <t>Defenses against oxidative stress in the Antarctic scallop Adamussium colbecki and effects of acute exposure to metals</t>
  </si>
  <si>
    <t>31st European Marine Biology Symposium on Interactions and Adaptation Strategies of Marine Organisms</t>
  </si>
  <si>
    <t>SEP 09-13, 1996</t>
  </si>
  <si>
    <t>ST PETERSBURG, RUSSIA</t>
  </si>
  <si>
    <t>molluscs; extreme environment; oxidative stress; heavy metals; biomarkers</t>
  </si>
  <si>
    <t>GLUTATHIONE-S-TRANSFERASE; MYTILUS-GALLOPROVINCIALIS; MUSSEL; PEROXIDATION; BIOMARKERS; ENZYMES; EDULIS</t>
  </si>
  <si>
    <t>Since a general pathway of toxicity induced by pollutants is the enhancement of reactive oxygen species, biochemical responses associated with variations in the antioxidant cellular system have been often proposed as biomarkers of pollutant-mediated toxicity associated with oxidative stress. Antarctic organisms live in an extreme environment characterized by low water temperature, high level of dissolved oxygen, presence of ice and strong seasonal changes in light intensity and availability of food, conditions which could influence both the formation of reactive oxygen species and the mechanisms for their removal. In this respect and considering the utility of this as a key species for monitoring marine Antarctic environment it was of interest to investigate the antioxidant defense system of the scallop Adamussium colbecki. The parameters examined in the digestive gland of the scallop were the concentration of glutathione and the activity of several glutathione dependent and antioxidant enzymes (glyoxalase I and II, glutathione S-transferases, glutathione peroxidases, glutathione reductase, catalase, superoxide dismutase). Very high levels of catalase suggest a possible adaptation to Antarctic extreme conditions, while the high activities of glutathione S-transferases are more probably related to the feeding behavior of Pectinids. Enzymes from Adamussium colbecki generally appeared to be active at low temperatures but, with a few exceptions, their activities increased with rising temperature. Exposure of A. colbecki to sublethal concentrations of Cu or Hg resulted in a significant reduction in the levels of total glutathione and in the activity of catalase and glutathione S-transferases. Antioxidant responses of A. colbecki could represent a useful tool in assessing the biological impact of environmental pollutants in the Antarctic ecosystems.</t>
  </si>
  <si>
    <t>Univ Ancona, Ist Biol &amp; Genet, I-60100 Ancona, Italy; Univ Pisa, Dipartimento Biomed Sperimentale, I-56100 Pisa, Italy</t>
  </si>
  <si>
    <t>Marche Polytechnic University; University of Pisa</t>
  </si>
  <si>
    <t>Univ Ancona, Ist Biol &amp; Genet, Via Ranieri,Monte Dago, I-60100 Ancona, Italy.</t>
  </si>
  <si>
    <t>Regoli, Francesco/0000-0001-6084-6188; PRINCIPATO, Giovanni/0000-0001-8800-0301</t>
  </si>
  <si>
    <t>OCT 3</t>
  </si>
  <si>
    <t>10.1023/A:1003094515903</t>
  </si>
  <si>
    <t>YU860</t>
  </si>
  <si>
    <t>WOS:000071763300015</t>
  </si>
  <si>
    <t>Roscoe, HK; Jones, AE; Lee, AM</t>
  </si>
  <si>
    <t>Midwinter start to Antarctic ozone depletion: Evidence from observations and models</t>
  </si>
  <si>
    <t>STRATOSPHERIC POLAR VORTEX; WINTER; ATMOSPHERE; TRANSPORT; DESCENT; MLS; AIR</t>
  </si>
  <si>
    <t>Measurements of total ozone at Faraday, Antarctica (65 degrees S), by a visible spectrometer show a winter maximum. This new observation is consistent with the descent of air within the polar vortex during early winter, together with ozone depletion starting in midwinter. Chemical depletion at these latitudes in midwinter is suggested by existing satellite observations of enhanced chlorine monoxide and reduced ozone above 100 hectapascals and by reduced ozone in sonde profiles. New three-dimensional model calculations for 1994 confirm that chemical ozone depletion started in June at the sunlit vortex edge and became substantial by late July. This would not have been observed by most previous techniques, which either could not operate in winter or were closer to the Pole.</t>
  </si>
  <si>
    <t>UNIV CAMBRIDGE,DEPT CHEM,CTR ATMOSPHER SCI,CAMBRIDGE CB2 1EW,ENGLAND</t>
  </si>
  <si>
    <t>Roscoe, HK (corresponding author), BRITISH ANTARCTIC SURVEY,NERC,HIGH CROSS,MADINGLEY RD,CAMBRIDGE CB3 0ET,ENGLAND.</t>
  </si>
  <si>
    <t>10.1126/science.278.5335.93</t>
  </si>
  <si>
    <t>XZ124</t>
  </si>
  <si>
    <t>WOS:A1997XZ12400044</t>
  </si>
  <si>
    <t>Fairbrother, DH; Sullivan, DJD; Johnston, HS</t>
  </si>
  <si>
    <t>Global thermodynamic atmospheric modeling: Search for new heterogeneous reactions</t>
  </si>
  <si>
    <t>SULFURIC-ACID; OZONE HOLE; GAS-PHASE; CHLORINE; CHEMISTRY; NITROGEN; HYDROGEN; STRATOSPHERE; FORMALDEHYDE; SURFACES</t>
  </si>
  <si>
    <t>This article demonstrates quantitatively how far reactions are from chemical equilibrium over the full space of a two-dimensional atmospheric model. This method could be used with data where an instrument-equipped aircraft measures numerous species simultaneously, An atmospheric reaction is displaced from equilibrium by solar radiation and relocation of species by atmospheric motions, One purpose of this study is to seek additional stratospheric or tropospheric gas-phase chemical reactions that might undergo heterogeneous catalysis. Hypothetical cases can be rapidly screened in terms of their thermodynamic potential to react under measured or modeled atmospheric conditions of temperature and local species concentrations. If a reaction is interesting, is slow in the gas phase, and has a high thermodynamic tendency to react, it is a good candidate for a laboratory study to seek a heterogeneous catalyst, if the reaction is thermodynamically unfavorable, there is no catalyst that can cause the reaction to occur. If a reaction is thermodynamically favored to occur but also endothermic, it will tend to be slow at stratospheric temperatures. We find, as expected, that four heterogeneous reactions important in causing the Antarctic ''ozone hole'' have high thermodynamic tendencies to occur under atmospheric conditions, but one of these is only weakly thermodynamically allowed in some regions of the atmosphere. The reaction of SO2 and HNO3 to form HONO has a high thermodynamic potential to occur, is a well-known laboratory reaction at ice temperature, and may occur in nitric acid-rich sulfate aerosols. Throughout the troposphere and stratosphere, we find that formaldehyde has an extremely high thermodynamic potential to reduce. nitric acid. Formaldehyde is known to stick to and remain in sulfuric acid solution, where it adds water to form H2C(OH)(2). Near room-temperature H2C(OH)(2) reacts with nitric acid in a two-step mechanism to form two molecules of HONO, but the rate of this process under conditions of stratospheric sulfuric acid aerosols is unknown.</t>
  </si>
  <si>
    <t>UNIV CALIF BERKELEY,DEPT CHEM,BERKELEY,CA 94720; UNIV CALIF BERKELEY,LAWRENCE BERKELEY LAB,BERKELEY,CA 94720</t>
  </si>
  <si>
    <t>University of California System; University of California Berkeley; United States Department of Energy (DOE); Lawrence Berkeley National Laboratory; University of California System; University of California Berkeley</t>
  </si>
  <si>
    <t>OCT 2</t>
  </si>
  <si>
    <t>10.1021/jp971250d</t>
  </si>
  <si>
    <t>XZ201</t>
  </si>
  <si>
    <t>WOS:A1997XZ20100008</t>
  </si>
  <si>
    <t>Peterson, MJ</t>
  </si>
  <si>
    <t>Eagle over the ice: The US in the Antarctic - Joyner,CC, Theis,ER</t>
  </si>
  <si>
    <t>Peterson, MJ (corresponding author), UNIV MASSACHUSETTS,AMHERST,MA 01003, USA.</t>
  </si>
  <si>
    <t>AMER SOC INT LAW</t>
  </si>
  <si>
    <t>2223 MASSACHUSETTS AVE N W, WASHINGTON, DC 20008-2864</t>
  </si>
  <si>
    <t>OCT</t>
  </si>
  <si>
    <t>10.2307/2998117</t>
  </si>
  <si>
    <t>YK499</t>
  </si>
  <si>
    <t>WOS:A1997YK49900018</t>
  </si>
  <si>
    <t>Roby, DD; Taylor, JRE; Place, AR</t>
  </si>
  <si>
    <t>Significance of stomach oil for reproduction in seabirds: An interspecies cross-fostering experiment</t>
  </si>
  <si>
    <t>AUK</t>
  </si>
  <si>
    <t>LEACHS STORM-PETREL; PRION PACHYPTILA-DESOLATA; BODY-COMPOSITION; DIVING PETRELS; PELECANOIDES-GEORGICUS; URINATRIX-EXSUL; GROWTH-RATE; LEAN MASS; BIRDS; FOOD</t>
  </si>
  <si>
    <t>Stomach oil, a complex mixture of neutral dietary Lipids, is a unique attribute of seabirds in the order procellariiformes. With the exception of diving-petrels, all procellariiforms produce stomach oil and feed it to their young. We conducted an interspecies cross-fostering experiment on Bird Island, South Georgia, that was designed to reveal how the presence or absence of stomach oil in meals fed to young seabirds influences their growth, development, and survival. Hatchling South Georgia Diving-Petrels (Pelecanoides georgicus), a species that lacks stomach oil, were switched with hatchling Antarctic Prions (Pachyptila desolata), a species that feeds its young stomach oil. Diving-petrel foster parents did not successfully raise prion nestlings, presumably due to the absence of stomach oil in meals fed to nestlings. Prion foster parents successfully raised diving-petrel nestlings to fledging, but growth rates were lower, nestling fat reserves were lower, and fledging was delayed compared with controls. These results suggest that stomach oil is an essential dietary component for prion nestlings to meet their energy requirements, but diving-petrel nestlings apparently cannot efficiently assimilate stomach oil. This experiment supports the hypothesis that the production of stomach oil is an adaptation that allows breeding seabirds to enhance provisioning rates of energy to the nest, while foraging on a distant and dispersed food supply.</t>
  </si>
  <si>
    <t>UNIV ALASKA, ALASKA COOPERAT FISH &amp; WILDLIFE RES UNIT, NATL BIOL SERV, FAIRBANKS, AK 99775 USA; UNIV MARYLAND, INST BIOTECHNOL, CTR MARINE BIOTECHNOL, BALTIMORE, MD 21202 USA</t>
  </si>
  <si>
    <t>University of Alaska System; University of Alaska Fairbanks; University System of Maryland; University of Maryland Baltimore</t>
  </si>
  <si>
    <t>Place, Allen R/F-9267-2013</t>
  </si>
  <si>
    <t>Taylor, Jan R. E./0000-0002-7085-0049</t>
  </si>
  <si>
    <t>0004-8038</t>
  </si>
  <si>
    <t>1938-4254</t>
  </si>
  <si>
    <t>10.2307/4089292</t>
  </si>
  <si>
    <t>YA451</t>
  </si>
  <si>
    <t>WOS:A1997YA45100019</t>
  </si>
  <si>
    <t>Royer, JY; Rollet, N</t>
  </si>
  <si>
    <t>Plate-tectonic setting of the Tasmanian region</t>
  </si>
  <si>
    <t>AUSTRALIAN JOURNAL OF EARTH SCIENCES</t>
  </si>
  <si>
    <t>Antarctica; Australia; Cretaceous; Indian Ocean; plate motion; South Tasman Rise; Tasman Sea; Tertiary</t>
  </si>
  <si>
    <t>EASTERN INDIAN-OCEAN; NEW-ZEALAND; AUSTRALIA; ANTARCTICA; BREAKUP; RECONSTRUCTION; EXTENSION; EVOLUTION; MARGIN; SOUTH</t>
  </si>
  <si>
    <t>The South Tasman Rise is a large submarine plateau of continental origin, located south of Tasmania. In the light of satellite-derived gravity data and shipboard swath-bathymetry and magnetic data collected in 1994 in the South Tasman Rise region, this paper re-examines the sea-floor spreading history of the surrounding ocean basins (northeastern Australian-Antarctic Basin and southwestern Tasman Sea). This information is synthesised in seven plate tectonic reconstructions of the South Tasman Rise region from the mid-Cretaceous (95 Ma) to the Early Oligocene (34 Ma). Our interpretation and model confirm that the South Tasman Rise is composed of two distinct terranes. A western domain, limited to the west by a transform margin along the Tasman Fracture Zone and to the east by a N170 degrees E oriented boundary at 146.5 degrees E, was initially attached to Antarctica. The western terrane rifted away from Antarctica in the Late Paleocene/Early Eocene and underwent severe wrench deformation as the Antarctic plate moved southward relative to the Australian plate. Shear motion continued to shape the Tasman Fracture Zone transform margin until the Early Miocene (chron 6B, 23 Ma) after which the Southeast Indian Ridge axis cleared from the western edge of the South Tasman Rise. An eastern domain limited to the east by a boundary at 146.5 degrees E, rifted off from Tasmania and the East Tasman Plateau. After an initial phase of stretching between Tasmania, the East Tasman Plateau and the Lord Howe Rise that lasted until the mid-Cretaceous, sea-floor spreading in the Tasman Sea started in the Late Cretaceous (chron 3-4y) north of the East Tasman Plateau. Seismic, magnetic and gravity profiles between the eastern South Tasman Rise and the East Tasman Plateau suggest that sea-floor spreading began between the two microcontinental blocks in the Late Cretaceous (ca chron 33y) and failed shortly after (chron 30y).</t>
  </si>
  <si>
    <t>Royer, JY (corresponding author), GEOSCI AZUR, UNITE MIXTE RECH 6526, BP 48, F-06235 VILLEFRANCHE MER, FRANCE.</t>
  </si>
  <si>
    <t>Royer, Jean-Yves/B-4312-2010</t>
  </si>
  <si>
    <t>Royer, Jean-Yves/0000-0002-7653-7715</t>
  </si>
  <si>
    <t>0812-0099</t>
  </si>
  <si>
    <t>AUST J EARTH SCI</t>
  </si>
  <si>
    <t>Aust. J. Earth Sci.</t>
  </si>
  <si>
    <t>10.1080/08120099708728336</t>
  </si>
  <si>
    <t>YB430</t>
  </si>
  <si>
    <t>WOS:A1997YB43000002</t>
  </si>
  <si>
    <t>Hill, PJ; Meixner, AJ; Moore, AMG; Exon, NF</t>
  </si>
  <si>
    <t>Structure and development of the west Tasmanian offshore sedimentary basins: results of recent marine and aeromagnetic surveys</t>
  </si>
  <si>
    <t>basin analysis; magnetic surveys; Otway Basin; seismic interpretation; Sorell Basin; Strahan Sub-basin; swath-mapping; Tasmania; tectonics</t>
  </si>
  <si>
    <t>AUSTRALIA; ANTARCTICA; BREAKUP; EXTENSION; MARGIN; SOUTH</t>
  </si>
  <si>
    <t>The Sorell and southernmost Otway Basins, off west Tasmania, cover an area of 100 000 km(2). At least 6 km of Cretaceous-Tertiary section is present in places and more than 50% of the region has a sediment thickness greater than 2 km. Free oil traces were found in Cape Sorell 1, drilled in the Strahan Sub-basin and geochemical surveys of sea-floor sediments indicate thermogenic hydrocarbons and mature source rocks at depth. New data on the basin have come from swath-mapping, deep seismic and aeromagnetic surveys recently conducted by AGSO. The Sorell Basin initiated in the latest Jurassic-earliest Cretaceous, largely by wrench tectonics within the Southern Rift System between the Australian and Antarctic cratons. Post-Cenomanian shallow marine to fluvial deposition was disrupted by major Maastrichtian-Early Paleocene tectonism associated with Australia-Antarctica breakup off west Tasmania. This was the last major structuring event in the Sorell Basin, producing a basement high adjacent to the transtensional plate boundary and extensive faulting throughout the Sorell Basin, including wrench reactivation of the depocentres now beneath the shelf. The outer high is characterised by intense block-faulting and igneous intrusion. Margin collapse resulted first in deposition of thick, prograding Paleocene sequences in the north, and then of similar thick Eocene sequences farther south as the spreading axis migrated southward (relative to Australia). In the mid-late Eocene the rate of Southern Ocean sea-floor spreading increased dramatically and changed its direction to north-south; associated transform movement along the western margin of the South Tasman Rise produced Eocene wrench deformation that affected mainly the southern Sorell Basin. The west Tasmanian margin sagged rapidly in post-Eocene time and was starved of sediment, with terrigenous sediments giving way to temperate carbonates. New offshore aeromagnetic data generally support the seismic structural interpretations and modelling confirms that basin thickness is up to 6 lan in places and indicates that Late Cenozoic volcanics underlie parts of the continental shelf.</t>
  </si>
  <si>
    <t>Hill, PJ (corresponding author), AUSTRALIAN GEOL SURVEY ORG, GPO BOX 378, CANBERRA, ACT 2601, AUSTRALIA.</t>
  </si>
  <si>
    <t>Meixner, Alfred J/C-1826-2014; Meixner, Alfred J./P-3260-2019</t>
  </si>
  <si>
    <t>Meixner, Alfred J/0000-0002-0187-2906; Exon, Neville/0000-0003-4169-4144</t>
  </si>
  <si>
    <t>10.1080/08120099708728338</t>
  </si>
  <si>
    <t>WOS:A1997YB43000004</t>
  </si>
  <si>
    <t>Quilty, PG</t>
  </si>
  <si>
    <t>Eocene and younger biostratigraphy and lithofacies of the Cascade Seamount, East Tasman Plateau, southwest Pacific Ocean</t>
  </si>
  <si>
    <t>biostratigraphy; Cascade Seamount; Cenozoic; East Tasman Plateau; southwest Pacific Ocean</t>
  </si>
  <si>
    <t>EVOLUTION; AUSTRALIA; PATTERNS; REGION</t>
  </si>
  <si>
    <t>Six dredgings, five taken during fishing operations, have recovered sedimentary rocks from the volcanic framework of Cascade Seamount, which is built on thinned continental crust on the East Tasman Plateau off eastern Tasmania. The top of the original volcano is now about 600 m below sea-level. Planktonic foraminifers and supplementary calcareous nannofossils yielded Late Eocene-Early Oligocene, mid-late Oligocene, Early/Middle Miocene, approximately Late Miocene and Quaternary ages. The history of the seamount is more complex than for most seamounts built on oceanic crust and may involve several intervals of volcanism, burrowing or dissolution and cavity infilling. Some of the volcanism was subaerial and some submarine. Older rocks include conglomerate, volcaniclastic sandstone, and a variety of interstitial sparry calcite, formed under a shallow-water, high-energy regime, whereas later sediments are mainly oozes. The oldest sedimentary rocks are Late Eocene, shallow water, fully marine with calcareous algae and abundant echinoid debris. Two phases, Chiloguembelina-dominated and Globigerinatheka-dominated, can be differentiated. Warm waters prevailed in the Late Eocene and in the Middle Miocene, cooler conditions between and since, consistent with other indications around the southern Australian margin. Post-depositional alteration consists of phosphatisation and development of ferromanganese crusts.</t>
  </si>
  <si>
    <t>Quilty, PG (corresponding author), AUSTRALIAN ANTARCTIC DIV,CHANNEL HIGHWAY,KINGSTON,TAS 7050,AUSTRALIA.</t>
  </si>
  <si>
    <t>BLACKWELL SCIENCE</t>
  </si>
  <si>
    <t>CARLTON</t>
  </si>
  <si>
    <t>54 UNIVERSITY ST, P O BOX 378, CARLTON VICTORIA 3053, AUSTRALIA</t>
  </si>
  <si>
    <t>10.1080/08120099708728343</t>
  </si>
  <si>
    <t>WOS:A1997YB43000009</t>
  </si>
  <si>
    <t>Connell, RD; Sikes, EL</t>
  </si>
  <si>
    <t>Controls on Late Quaternary sedimentation of the South Tasman Rise</t>
  </si>
  <si>
    <t>calcareous sediments; climatology; Quaternary</t>
  </si>
  <si>
    <t>OCEAN; ACCUMULATION; CIRCULATION; CARBONATE; FRONTS; RATES</t>
  </si>
  <si>
    <t>The South Tasman Rise is a submarine continental plateau of about 1000-3000 m depth, in the Southern Ocean south of and separated from Tasmania by a saddle more than 3000 m deep. Its palaeoceanographic importance is that it lies between the subtropical convergence and the polar front and that latitudinal migration of these oceanographic features should be recorded in the calcareous oozes deposited on the rise. Late Quaternary sediment cores collected from the South Tasman Rise record climatically and current-controlled changes in sedimentation. Accelerator mass spectrometry C-14 dating of down-core variations in the carbonate concentration demonstrates that the core-top carbonate maxima are Holocene and down-core minima are successive glacial intervals. During glaciations the percentage of carbonate decreases, whereas the percentage of detrital minerals (terrestrial input) increases. The magnitude of climatically related signatures expressed in the sediments is a function both of proximity to terrestrial input from the north and of overlying water depth. Cores from the saddle separating the South Tasman Rise from Tasmania have large terrestrial input and high variations in carbonate concentration. Shallower water cores from the rise are consistently and strongly influenced by winnowing in both glacial and interglacial intervals, whereas deeper cores appear to be more influenced by carbonate dissolution during glaciations.</t>
  </si>
  <si>
    <t>ANTARCTIC COOPERAT RES CTR,HOBART,TAS 7001,AUSTRALIA; AUSTRALIAN GEOL SURVEY ORG,CANBERRA,ACT 2601,AUSTRALIA</t>
  </si>
  <si>
    <t>Geoscience Australia</t>
  </si>
  <si>
    <t>Sikes, Elisabeth/HPE-8194-2023</t>
  </si>
  <si>
    <t>10.1080/08120099708728344</t>
  </si>
  <si>
    <t>WOS:A1997YB43000010</t>
  </si>
  <si>
    <t>Whitmore, GP; Belton, DX</t>
  </si>
  <si>
    <t>Sedimentology of the south Tasman rise, south of Tasmania, from 'groundtruthed' acoustic facies mapping</t>
  </si>
  <si>
    <t>acoustic facies; sedimentology; South Tasman Rise; swath mapping</t>
  </si>
  <si>
    <t>DEEP-SEA; SOUTHEASTERN AUSTRALIA; WESTERN-AUSTRALIA; INDIAN-OCEAN; ATLANTIC; FORAMINIFERA; DISPERSAL; PATTERNS; SYSTEMS; OTWAY</t>
  </si>
  <si>
    <t>Acoustic facies mapping using 3.5 kHz profiles and swath imagery allows rapid mapping of sea-floor sediment type over large areas. A groundtruthed acoustic facies map for the South Tasman Rise has been compiled using 200 000 km(2) of swath data and 74 core and dredge samples. Results indicate that widespread current winnowing has blanketed much of the South Tasman Rise with foraminiferal sand of indeterminate thickness. Modern sediment waves on the western flank of the South Tasman Rise are significantly smaller than buried examples (with wavelengths of several kilometres and up to 100 m amplitude), suggesting that the Antarctic Circumpolar Current has abated. This finding supports oceanographic evidence that the Subantarctic Front of the Antarctic Circumpolar Current lies south of the South Tasman Rise and has migrated north during glacial periods. The flanks of the South Tasman Rise are characterised by a range of dominantly pelagic deposits that are reworked into mappable units interpreted as slumps, mass-flow and gravity-flow deposits. Submarine canyons, debris flows and manganiferous deposits can be identified from the acoustic facies map. Discriminating facies that contain manganese nodules and crusts from those composed of coarse pelagic sediment is tentatively possible as the manganiferous varieties have a higher acoustic reflectivity. Comparison of facies from the South Tasman Rise with those of other regions indicate that CaCO3 content-and (perhaps) more importantly very high water content in beds of foraminiferal sand-is producing echo types normally associated with abundant coarse sandy sediment.</t>
  </si>
  <si>
    <t>JAMES COOK UNIV N QUEENSLAND,DEPT EARTH SCI,TOWNSVILLE,QLD 4811,AUSTRALIA</t>
  </si>
  <si>
    <t>James Cook University</t>
  </si>
  <si>
    <t>Belton, David X/H-7537-2013</t>
  </si>
  <si>
    <t>10.1080/08120099708728345</t>
  </si>
  <si>
    <t>WOS:A1997YB43000011</t>
  </si>
  <si>
    <t>Walden, VP; Warren, SG; Murcray, FJ; Ellingson, RG</t>
  </si>
  <si>
    <t>Infrared radiance spectra for testing radiative transfer models in cold and dry atmospheres: Test cases from the Antarctic Plateau</t>
  </si>
  <si>
    <t>BULLETIN OF THE AMERICAN METEOROLOGICAL SOCIETY</t>
  </si>
  <si>
    <t>CLIMATE MODELS; CODES</t>
  </si>
  <si>
    <t>UNIV WASHINGTON,DEPT ATMOSPHER SCI,SEATTLE,WA 98195; UNIV DENVER,DEPT PHYS,DENVER,CO 80208; UNIV MARYLAND,DEPT METEOROL,COLLEGE PK,MD 20742</t>
  </si>
  <si>
    <t>University of Washington; University of Washington Seattle; University of Denver; University System of Maryland; University of Maryland College Park</t>
  </si>
  <si>
    <t>Walden, VP (corresponding author), UNIV WISCONSIN,CTR SPACE SCI &amp; ENGN,MADISON,WI 53706, USA.</t>
  </si>
  <si>
    <t>0003-0007</t>
  </si>
  <si>
    <t>B AM METEOROL SOC</t>
  </si>
  <si>
    <t>Bull. Amer. Meteorol. Soc.</t>
  </si>
  <si>
    <t>YE028</t>
  </si>
  <si>
    <t>WOS:A1997YE02800012</t>
  </si>
  <si>
    <t>Gales, NJ; Mattlin, RH</t>
  </si>
  <si>
    <t>Summer diving behaviour of lactating New Zealand sea lions, Phocarctos hookeri</t>
  </si>
  <si>
    <t>ANTARCTIC FUR SEALS; FORAGING BEHAVIOR; ZALOPHUS-CALIFORNIANUS; POPULATION; ABUNDANCE; PREY</t>
  </si>
  <si>
    <t>The diving behaviour of 14 female New Zealand sea lions (Phocarctos hookeri) was recorded during early lactation in January and February 1995 on the Auckland Islands, New Zealand. During 73 trips to sea, 19 720 dives were recorded. The average duration of a foraging cycle was 2.9 days (range 1.4-4.8 days), of which 1.7 days (57%) (range 1.1-3.4 days) were spent at sea and 1.2 days (43%) (range 0.8-2.3 days) ashore. At sea the sea lions dived almost continuously at a rate of 7.5 dives/h and spent a mean of 45% of the time submerged (greater than or equal to 2 m). Dive behaviour varied among individuals but showed no diel pattern overall. The dive depth for all dives greater than or equal to 6 m was 123 +/- 87 m (mean +/- SD) (median 124 m, maximum 474 m) and ranged among individuals from 79 +/- 85 to 187 +/- 166 m. About half of the dives were in the 101- to 180-m range. The duration of all dives was 3.9 +/- 1.8 min (median 4.33 min, maximum 11.3 min); about half (51%) of the dive durations were between 4 and 6 min. Surface interval was 4.5 +/- 15.8 min (median 1.9 min). Almost half (44%) of all dives exceeded the calculated aerobic dive limit of each sea lion (range 16-73% for individuals). Most dive profiles were flat bottomed and, we believe, are to the benthos. A mean of 51.5% of all dive time was spent in the deepest 85% of the dive. Prey remains found during this study were primarily of benthic and demersal organisms. Phocarctos hookeri is the deepest and longest diving of any of the otariids recorded to date. We suggest that the dive behaviour may reflect either successful physiological adaptation to exploiting benthic prey and (or) a marginal foraging environment in which diving behaviour is close to physiological limits.</t>
  </si>
  <si>
    <t>VICTORIA UNIV WELLINGTON,SCH BIOL SCI,WELLINGTON,NEW ZEALAND</t>
  </si>
  <si>
    <t>Gales, NJ (corresponding author), DEPT CONSERVAT,POB 10-420,WELLINGTON,NEW ZEALAND.</t>
  </si>
  <si>
    <t>RESEARCH JOURNALS, MONTREAL RD, OTTAWA ON K1A 0R6, CANADA</t>
  </si>
  <si>
    <t>10.1139/z97-796</t>
  </si>
  <si>
    <t>YE065</t>
  </si>
  <si>
    <t>WOS:A1997YE06500015</t>
  </si>
  <si>
    <t>Psychrophilic enzymes: molecular basis of cold adaptation</t>
  </si>
  <si>
    <t>CELLULAR AND MOLECULAR LIFE SCIENCES</t>
  </si>
  <si>
    <t>psychrophiles; extremophiles; cold adaptation; microbial proteins; protein stability; weak interactions; Antarctic</t>
  </si>
  <si>
    <t>ALTEROMONAS-HALOPLANCTIS A23; ALPHA-AMYLASE; ATLANTIC COD; PSYCHROTROPHIC BACTERIUM; PSEUDOMONAS-FLUORESCENS; EVOLUTIONARY ADAPTATION; ANGSTROM RESOLUTION; NUCLEOTIDE-SEQUENCE; ANTIFREEZE PROTEIN; ANTARCTIC BACTERIA</t>
  </si>
  <si>
    <t>Psychrophilic organisms have successfully colonized polar and alpine regions and are able to grow efficiently at sub-zero temperatures. At the enzymatic level, such organisms have to cope with the reduction of chemical reaction rates induced by low temperatures in order to maintain adequate metabolic fluxes. Thermal compensation in cold-adapted enzymes is reached through improved turnover number and catalytic efficiency. This optimization of the catalytic parameters can originate from a highly flexible structure which provides enhanced abilities to undergo conformational changes during catalysis. Thermal instability of cold-adapted enzymes is therefore regarded as a consequence of their conformational flexibility. A survey of the psychrophilic enzymes studied so far reveals only minor alterations of the primary structure when compared to mesophilic or thermophilic homologues. However, all known structural factors and weak interactions involved in protein stability are either reduced in number or modified in order to increase their flexibility.</t>
  </si>
  <si>
    <t>UNIV LIEGE, INST CHEM B6, BIOCHEM LAB, B-4000 LIEGE, BELGIUM.</t>
  </si>
  <si>
    <t>SPRINGER BASEL AG</t>
  </si>
  <si>
    <t>PICASSOPLATZ 4, BASEL, 4052, SWITZERLAND</t>
  </si>
  <si>
    <t>1420-682X</t>
  </si>
  <si>
    <t>1420-9071</t>
  </si>
  <si>
    <t>CELL MOL LIFE SCI</t>
  </si>
  <si>
    <t>Cell. Mol. Life Sci.</t>
  </si>
  <si>
    <t>10.1007/s000180050103</t>
  </si>
  <si>
    <t>Biochemistry &amp; Molecular Biology; Cell Biology</t>
  </si>
  <si>
    <t>YK408</t>
  </si>
  <si>
    <t>WOS:A1997YK40800006</t>
  </si>
  <si>
    <t>Connolley, WM</t>
  </si>
  <si>
    <t>Variability in annual mean circulation in southern high latitudes</t>
  </si>
  <si>
    <t>SEA-SURFACE TEMPERATURE; LEVEL PRESSURE ANOMALIES; NORTH PACIFIC OCEAN; ATMOSPHERIC CIRCULATION; HEMISPHERE CIRCULATION; ANTARCTIC CLIMATE; PREDICTABILITY; OSCILLATION; MODEL; WAVES</t>
  </si>
  <si>
    <t>Using a hierarchy of climate models together with observations from gridded analyses, I examine the atmosphere-only and coupled ocean-atmosphere variability in the general circulation for the region south of 40 degrees S. The variability in mean sea level pressure (MSLP) is well simulated by the coupled models. A complication is that the difference between the two analyses used for verification is comparable to the analysis-model differences. An increase in variability is seen within the hierarchy of model runs although even a model without interannual variations in sea surface temperatures (SSTs) captures most of the observed variability. The temporal variation in MSLP in southern high latitudes has a white spectrum consistent with ''random'' forcing by weather events and a decoupling from oceanic ''integration''. In contrast, the spatial pattern of MSLP variability shows large-scale structure that is consistent between observations and various models, even without interannual variation in SSTs. This shows that the models are sufficiently skillful to reproduce the pattern of observed variability and suggests that the pattern of variability is a characteristic of the land-sea distribution and topography.</t>
  </si>
  <si>
    <t>Connolley, WM (corresponding author), BRITISH ANTARCTIC SURVEY,HIGH CROSS,MADINGLEY RD,CAMBRIDGE CB3 0ET,ENGLAND.</t>
  </si>
  <si>
    <t>10.1007/s003820050195</t>
  </si>
  <si>
    <t>YC099</t>
  </si>
  <si>
    <t>WOS:A1997YC09900006</t>
  </si>
  <si>
    <t>Temperature-dependent enthalpy of oxygenation in Antarctic fish hemoglobins</t>
  </si>
  <si>
    <t>fish hemoglobin; oxygen binding; Bohr effect; Root effect; temperature effect; enthalpy; heat capacity change; thermodynamics; Antarctica</t>
  </si>
  <si>
    <t>VANT HOFF; SIGNIFICANT DISCREPANCIES; CALORIMETRIC ENTHALPIES; BINDING-PROPERTIES; ACCLIMATION; BLOOD; TRANSPORT; AFFINITY; TROUT; HEAT</t>
  </si>
  <si>
    <t>The effect of temperature on the oxygen-binding properties of the hemoglobins of three cold-adapted Antarctic fish species, Dissostichus mawsoni, Pagothenia borchgrevinki and Trematomus, sp., has been investigated under different pH values and buffer conditions. A clear non linear van't Hoff plot (logP(50) vs 1/T) of D. mawsoni hemoglobin indicates that the enthalpy of oxygenation (slope of the plot) is temperature dependent and that at high temperatures oxygen-binding becomes less exothermic. Nearly linear relationships were found in the hemoglobins of the other two species. The data were fitted by non-linear least-squares analysis according to the integrated form of the van't Hoff equation, which includes a temperature-independent heat capacity change term (Delta C-p) that is omitted when linearity is assumed. As estimated from the fitting procedures, the heat capacity decreases upon oxygen binding. The degree of the temperature dependence of the heat of oxygenation observed in these hemoglobins seems to reflect the differences in their allosteric effects rather than a specific molecular adaptation to low temperatures. Moreover, this study indicates that the disagreement between literature data for the enthalpy of oxygenation in Antarctic fish hemoglobins derives from the use of the nonintegrated (linearized) form of the van't Hoff equation over different temperature ranges. The general assumption that a low heat of oxygenation in hemoglobins from polar animals represents an adaptation to the low-temperature habitat needs to be revised. (C) 1997 Elsevier Science Inc.</t>
  </si>
  <si>
    <t>UNIV AUCKLAND, SCH BIOL SCI, AUCKLAND 1, NEW ZEALAND</t>
  </si>
  <si>
    <t>Fago, A (corresponding author), AARHUS UNIV, INST BIOL SCI, DEPT ZOOPHYSIOL, BLDG 131, DK-8000 AARHUS C, DENMARK.</t>
  </si>
  <si>
    <t>1096-4959</t>
  </si>
  <si>
    <t>10.1016/S0305-0491(97)00160-0</t>
  </si>
  <si>
    <t>YJ800</t>
  </si>
  <si>
    <t>WOS:A1997YJ80000011</t>
  </si>
  <si>
    <t>Gonzalo, P; Valderrama, MJ; De Siloniz, MI; Peinado, JM</t>
  </si>
  <si>
    <t>Incubation at low temperatures increases biomass yield in yeasts isolated from cold environments</t>
  </si>
  <si>
    <t>FOOD TECHNOLOGY AND BIOTECHNOLOGY</t>
  </si>
  <si>
    <t>Meeting on Yeast Nutrition and Natural Habitats at the 18th International Specialised Symposium on Yeast (ISSY)</t>
  </si>
  <si>
    <t>BLED, SLOVENIA</t>
  </si>
  <si>
    <t>psychrotolerance; low temperatures; spoilage yeasts</t>
  </si>
  <si>
    <t>The growth kinetics of several cold-tolerant yeast strains (Candida colliculosa, Candida krusei, Debaryomyces hansenii, Kluyveromyces marxianus and Torulaspora delbrueckii), isolated from refrigerated food, were studied over a range of temperatures (10-30 degrees C). For comparison, a mesophilic Saccharomyces cerevisiae strain was also included. The specific growth rates at different temperatures were very similar in the cold-tolerant isolates and the mesophilic strain; mu (h(-1)) increased with temperature, reaching a maximum at 30 degrees C. Nevertheless, biomass yields did not correlate with the observed growth rates: maximum yields were attained at low temperatures (10 degrees C), at which the lowest specific growth rates were measured, and low yields were produced at 30 degrees C where the highest growth rates were observed. On the contrary, Sacch. cerevisiae did not show this behaviour. The variation of glucose consumption rates at the studied temperatures, correlated with the growth rates observed, but again not with the measured yields. Fermentation (mmol ethanol formed/mmol glucose consumed) was not affected by incubation temperature. These data were compared with our data for Candida sake Antarctic strains, which exhibited a similar reponse. Based on that, the enhancement of yield at low temperatures could be considered as a consequence of cold tolerance in yeasts, allowing well adapted strains to develop efficiently, albeit at reduced rates, in low temperature environments.</t>
  </si>
  <si>
    <t>Univ Complutense, Fac Biol, Dept Microbiol, E-28040 Madrid, Spain</t>
  </si>
  <si>
    <t>Complutense University of Madrid</t>
  </si>
  <si>
    <t>peinado@evemax.sim.vcm.es</t>
  </si>
  <si>
    <t>de Siloniz, Maria-Isabel/L-1273-2014; Peinado, Jose M./L-2310-2014</t>
  </si>
  <si>
    <t>de Siloniz, Maria-Isabel/0000-0002-4204-1244; Gonzalo, Pilar/0000-0001-8811-8369; Peinado, Jose M./0000-0003-3548-7624</t>
  </si>
  <si>
    <t>FACULTY FOOD TECHNOLOGY BIOTECHNOLOGY</t>
  </si>
  <si>
    <t>ZAGREB</t>
  </si>
  <si>
    <t>UNIV ZAGREB, KACIECEVA 23, 41000 ZAGREB, CROATIA</t>
  </si>
  <si>
    <t>1330-9862</t>
  </si>
  <si>
    <t>1334-2606</t>
  </si>
  <si>
    <t>FOOD TECHNOL BIOTECH</t>
  </si>
  <si>
    <t>Food Technol. Biotechnol.</t>
  </si>
  <si>
    <t>OCT-DEC</t>
  </si>
  <si>
    <t>Biotechnology &amp; Applied Microbiology; Food Science &amp; Technology</t>
  </si>
  <si>
    <t>ZC142</t>
  </si>
  <si>
    <t>WOS:000072544100005</t>
  </si>
  <si>
    <t>Schall, C; Heumann, KG; Kirst, GO</t>
  </si>
  <si>
    <t>Biogenic volatile organoiodine and organobromine hydrocarbons in the Atlantic Ocean from 42 degrees N to 72 degrees S</t>
  </si>
  <si>
    <t>HALOGENATED ORGANIC-COMPOUNDS; SOUTH POLAR SEA; METHYL-IODIDE; ANTARCTIC ATMOSPHERE; ARCTIC-OCEAN; ICE ALGAE; BROMOFORM; SEAWATER; WATER; HALOCARBONS</t>
  </si>
  <si>
    <t>During the cruise ANT X/1 and 2 of the research vessel Polarstern from November 1991 to March 1992, 39 surface water samples of the Atlantic Ocean from 42 degrees N to 72.5 degrees S were collected and analysed for their concentration of volatile iodinated and brominated hydrocarbons. The concentration of chlorophyll-a was used as an indicator for phytoplankton, which is one of the main producers of iodinated and brominated compounds in the ocean. For determination of chlorophyll-a, fluorescence spectroscopy was applied, whereas the measurement of halogenated volatile hydrocarbons was carried out by a purge and trap system with subsequent gas chromatographic separation and detection by an electron capture detector. With this technique the brominated substances CHBr3, CH2Br2, CHBr2Cl and CHBrCl2 have been detected in the range of &lt; 0.03 ng/L to 15 ng/L. For these volatile bromomethanes a distinct concentration profile was found. CHBr3 was always found to be the substance with the highest concentration followed by CH2Br2, CHBr2Cl and CHBrCl2. It could also be shown that in addition to CH3I, which for a long time was believed to be the only volatile iodinated substance in the marine environment, other iodinated substances like CH2ClI, CH2I2 and CH3CH2CH2I exist in the range of &lt; 0.01 ng/L to 2.2 ng/L in surface water of the Atlantic Ocean. Although it is improbable that chlorophyll-a is directly involved in the marine production of halogenated hydrocarbons, it was found that it could be used as an indicator for the biogenic formation of brominated compounds, whereas the correlation between chlorophyll-a and the iodinated substances was not of the same quality. The positive correlation between bromoform and dibromomethane proves the same biogenic origin and mechanism of formation, which could not be found for the different iodinated compounds.</t>
  </si>
  <si>
    <t>UNIV MAINZ,INST INORGAN &amp; ANALYT CHEM,D-55099 MAINZ,GERMANY; UNIV BREMEN,INST MARINE BOT,D-28359 BREMEN,GERMANY</t>
  </si>
  <si>
    <t>Johannes Gutenberg University of Mainz; University of Bremen</t>
  </si>
  <si>
    <t>10.1007/s002160050577</t>
  </si>
  <si>
    <t>XY436</t>
  </si>
  <si>
    <t>WOS:A1997XY43600017</t>
  </si>
  <si>
    <t>Lyons, WB; Welch, KA</t>
  </si>
  <si>
    <t>Lithium in waters of a polar desert</t>
  </si>
  <si>
    <t>ANTARCTIC LAKE; CARNMENELLIS GRANITE; MAJOR ELEMENTS; EVOLUTION; SALINE; ORIGIN; RIVER; GROUNDWATERS; SEDIMENTS; CHEMISTRY</t>
  </si>
  <si>
    <t>Lithium (Li+) concentrations were measured in a series of stream and lake samples from a cold, dry desert, the McMurdo Dry Valleys (MDV) in Southern Victoria Land, Antarctica. Li+ goeochemistry has been of great interest and utility, in part, because of its solubility and mobility during rock-water interactions. In general, the values determined for the streams and the dilute lake waters in this polar desert environment are similar to those found in temperate streams and lakes. The source of Li+ to these waters is a combination of marine aerosol and crustal weathering within the stream channels The hypersaline hypolimnion of Lake Bonney has extremely high concentrations of Li+ which has been concentrated via a previous drawdown of the lake and its subsequent evapoconcentration. The different distributions of Li+ within the lakes is also due to past climatic changes and their effects on the chemical evolution of the lakes. The high relative mobility of Li+ controls its distribution within the aquatic systems of this cold, desert environment. Copyright (C) 1997 Elsevier Science Ltd.</t>
  </si>
  <si>
    <t>Lyons, WB (corresponding author), UNIV ALABAMA,DEPT GEOL,TUSCALOOSA,AL 35487, USA.</t>
  </si>
  <si>
    <t>Welch, Kathleen/0000-0003-1028-3086</t>
  </si>
  <si>
    <t>YH279</t>
  </si>
  <si>
    <t>WOS:A1997YH27900005</t>
  </si>
  <si>
    <t>Aronson, RB; Blake, DB; Oji, T</t>
  </si>
  <si>
    <t>Retrograde community structure in the late Eocene of Antarctica</t>
  </si>
  <si>
    <t>MESOZOIC MARINE REVOLUTION; OPHIOTHRIX-FRAGILIS; COMATULID CRINOIDS; ENGLISH-CHANNEL; SOUTHERN-OCEAN; PREDATION; OPHIUROIDS; ECHINODERMATA; EXTINCTION; BIOLOGY</t>
  </si>
  <si>
    <t>Current paleobiological models hold that predators eliminated populations of epifaunal suspension feeders from shallow, soft-substrate marine environments beginning in the Mesozoic. Among the suspension feeders affected were dense populations of ophiuroids, which are rare in shallow water today, and isocrinid crinoids, which today occur only in the deep sea, The La Meseta Formation on Seymour Island, Antarctic Peninsula, represents an ecological anomaly: this deposit contains localized, autochthonous, dense assemblages of ophiuroids and isocrinids in a late Eocene, shallow-water setting, The rare occurrence of sublethal arm injuries in both the ophiuroid and crinoid populations suggests low predation levels, as seen in similar populations before the Mesozoic. Sporadic return to a Paleozoic community structure was apparently provoked by changes in temperature and productivity in Antarctica during the late Eocene.</t>
  </si>
  <si>
    <t>UNIV ILLINOIS,DEPT GEOL,URBANA,IL 61801; UNIV TOKYO,INST GEOL,TOKYO 113,JAPAN</t>
  </si>
  <si>
    <t>University of Illinois System; University of Illinois Urbana-Champaign; University of Tokyo</t>
  </si>
  <si>
    <t>Aronson, RB (corresponding author), DAUPHIN ISL SEA LAB,POB 369,DAUPHIN ISL,AL 36528, USA.</t>
  </si>
  <si>
    <t>Oji, Tatsuo/A-1840-2009</t>
  </si>
  <si>
    <t>Oji, Tatsuo/0000-0002-1034-1111; Aronson, Richard/0000-0003-0383-3844</t>
  </si>
  <si>
    <t>GEOLOGICAL SOC AMERICA</t>
  </si>
  <si>
    <t>PO BOX 9140 3300 PENROSE PLACE, BOULDER, CO 80301</t>
  </si>
  <si>
    <t>10.1130/0091-7613(1997)025&lt;0903:RCSITL&gt;2.3.CO;2</t>
  </si>
  <si>
    <t>YB062</t>
  </si>
  <si>
    <t>WOS:A1997YB06200010</t>
  </si>
  <si>
    <t>Singh, RK; Srivastava, RK; Hsean, AR</t>
  </si>
  <si>
    <t>Petrology of the precambrian mafic rocks of Katekalyan area, Bastar district, Madhya Pradesh, India</t>
  </si>
  <si>
    <t>petrology; Precambrian; mafic rocks; Katekalyan; Baster</t>
  </si>
  <si>
    <t>VOLCANIC-ROCKS; ZR; OCEAN; TI</t>
  </si>
  <si>
    <t>Two types of mafic rocks are exposed around the Katekalyan region viz. amphibolites and dolerites and/or meta-dolerites. Amphibolites are further classified as volcanic amphibolites (i.e. meta-volcanics) and plutonic amphibolites (mainly dykes). Dolerites occur as small dykes. Middle Proterozoic or older rock types of the area have been intruded by mafic rocks. Volcanic amphibolites show schistose texture whereas plutonic amphibolites exhibit either schistose or granoblastic textures. Porphyroblastic texture is also observed in some thin sections of both types. Dolerites and/or meta-dolerites show ophitic or sub-ophitic texture. Geochemically all types of mafic rocks may be classified as sub-alkaline high Fe-tholeiites and are enriched in Rb, K, Nb, Sr, Zr,Ti and Y than the primitive mantle. Incompatible elements concentration suggest genetic links between all types of mafic rocks and are indicated to be emplaced in the within-plate environment. On the basis of petrological and geochemical data presented, it is suggested that ferro-tholeiitic magma has been emplaced at least twice, one has been metamorphosed (i.e. older emplacements - amphibolitic types) and another is fresh (i.e. younger emplacements - doleritic types). It is also suggested that probably amphibolite dykes act as feeder dykes for volcanic amphibolites (i.e. meta-volcanics). Almost similar mafic rocks, particularly dykes, have been observed in the Antarctic shield which supports the juxtaposition of India and Antarctica and corroborates the views on reassembly of East Gondwanaland.</t>
  </si>
  <si>
    <t>Banaras Hindu Univ, Dept Geol, Varanasi 221005, Uttar Pradesh, India</t>
  </si>
  <si>
    <t>Banaras Hindu University (BHU)</t>
  </si>
  <si>
    <t>Singh, RK (corresponding author), Banaras Hindu Univ, Dept Geol, Varanasi 221005, Uttar Pradesh, India.</t>
  </si>
  <si>
    <t>10.1016/S1342-937X(05)70011-3</t>
  </si>
  <si>
    <t>208KN</t>
  </si>
  <si>
    <t>WOS:000080990200011</t>
  </si>
  <si>
    <t>Rozanski, K; Johnsen, SJ; Schotterer, U; Thompson, LG</t>
  </si>
  <si>
    <t>Reconstruction of past climates from stable isotope records of palaeo-precipitation preserved in continental archives</t>
  </si>
  <si>
    <t>HYDROLOGICAL SCIENCES JOURNAL-JOURNAL DES SCIENCES HYDROLOGIQUES</t>
  </si>
  <si>
    <t>International Workshop on Tracing Isotopic Composition of Past and Present Precipitation - Opportunities for Climate and Water Studies</t>
  </si>
  <si>
    <t>JAN 23-25, 1995</t>
  </si>
  <si>
    <t>BERN, SWITZERLAND</t>
  </si>
  <si>
    <t>ICE-CORE RECORD; QINGHAI-TIBETAN PLATEAU; LAST GLACIAL MAXIMUM; SAN-JUAN BASIN; GREENLAND ICE; NORTH-ATLANTIC; ANTARCTIC ICE; NEW-MEXICO; O-18; TEMPERATURE</t>
  </si>
  <si>
    <t>The potential of stable isotope ratios (H-2/H-1 and O-18/O-16) of water as a modern tool for palaeoclimatic reconstructions on continents is reviewed. Examples of stable isotope records of palaeo-precipitation preserved in various continental archives (polar ice sheets, mid-and low latitude glaciers, lacustrine deposits, groundwater) are presented, and the methodology of their interpretation in terms of climatic changes is briefly discussed. To interpret quantitatively the isotope records preserved in continental archives, the response of the isotopic composition of precipitation to long-term fluctuations of key climatic parameters (temperature, precipitation amount, relative humidity) over the given area should be known. Further, the transfer functions relating the climate-induced changes of the isotopic composition of precipitation to the isotope record preserved in the given archive should be established. Since the isotopic composition of precipitation has been monitored only for the past three decades, alternatives ways of assessing the long-term climatic sensitivity of the isotopic signature of precipitation are being investigated. The isotope composition of precipitation should be viewed not only as a powerful proxy climatic indicator but also as an additional hydrometeorological parameter which should be explored as a diagnostic tool for the modelling of climate-induced changes in the water cycle, both on a regional and a global scale.</t>
  </si>
  <si>
    <t>Rozanski, K (corresponding author), STANISLAW STASZIC UNIV MIN &amp; MET, FAC PHYS &amp; NUCL TECH, DEPT ENVIRONM PHYS, PL-30059 KRAKOW, POLAND.</t>
  </si>
  <si>
    <t>0262-6667</t>
  </si>
  <si>
    <t>HYDROLOG SCI J</t>
  </si>
  <si>
    <t>Hydrol. Sci. J.-J. Sci. Hydrol.</t>
  </si>
  <si>
    <t>10.1080/02626669709492069</t>
  </si>
  <si>
    <t>Water Resources</t>
  </si>
  <si>
    <t>YB178</t>
  </si>
  <si>
    <t>WOS:A1997YB17800008</t>
  </si>
  <si>
    <t>Bowman, JP; McCammon, SA; Nichols, DS; Skerratt, JH; Rea, SM; Nichols, PD; McMeekin, TA</t>
  </si>
  <si>
    <t>Shewanella gelidimarina sp. nov. and Shewanella frigidimarina sp. nov., novel Antarctic species with the ability to produce eicosapentaenoic acid (20:5 omega 3) and grow anaerobically by dissimilatory Fe(III) reduction</t>
  </si>
  <si>
    <t>5S RIBOSOMAL-RNA; PSEUDOMONAS-PUTREFACIENS; DNA HYBRIDIZATION; FATTY-ACIDS; GEN-NOV; ALTEROMONAS; TAXONOMY; SEQUENCE; BACTERIA; STRAINS</t>
  </si>
  <si>
    <t>A polyphasic taxonomic study was performed to characterize dissimilatory iron-reducing strains mostly isolated from Antarctic sea ice. The strains were isolated from samples of congelated (land-fast) sea ice, grease ice, and ice algal biomass collected from the coastal areas of the Vestfold Hills in eastern Antarctica (68 degrees S 78 degrees E). The strains were facultatively anaerobic, motile, and rod shaped, were capable of anaerobic growth either by fermentation of carbohydrates or by anaerobic respiration, and utilized a variety of electron acceptors, including nitrate, ferric compounds, and trimethylamine N-oxide. A phylogenetic analysis performed with 16S rRNA sequences showed that the isolates formed two groups representing novel lineages in the genus Shewanella. The first novel group included seawater-requiring, psychrophilic, chitinolytic strains which had DNA G+C contents of 48 mol%, The members of the second strain group were psychrotrophic and did not require seawater but could tolerate up to 9% NaCl, The strains of this group were also unable to degrade polysaccharides but could utilize a number of monosaccharides and disaccharides asd had G+C contents of 40 to 43 mol%, The whole-cell-derived fatty acid profiles of the sea ice isolates were found to be similar to the profiles obtained far other Shewanella species, The omega-3 polyunsaturated fatty acid eicosapentaenoic acid (EPA) (20:5 omega 3) was detected in all of the sea ice isolates at levels ranging from 2 to 16% of the total fatty acids, EPA was also found at high levels in Shewanella hanedai (19 to 22%) and Shewanella benthica (16 to 18%) but was absent in Shewanella alga and Shewanella putrefaciens. On the basis of polyphasic taxonomic data, the Antarctic iron-reducing strains are placed In two new species, Shewanella frigidimarina sp, nov, (type strain, ACAM 591) and Shewanella gelidimarina sp, nor, (type strain, ACAM 456).</t>
  </si>
  <si>
    <t>UNIV TASMANIA,DEPT AGR SCI,HOBART,TAS 7001,AUSTRALIA; CSIRO,DIV MARINE RES,MARINE LABS,HOBART,TAS,AUSTRALIA</t>
  </si>
  <si>
    <t>University of Tasmania; Commonwealth Scientific &amp; Industrial Research Organisation (CSIRO)</t>
  </si>
  <si>
    <t>Bowman, JP (corresponding author), UNIV TASMANIA,ANTARCTIC CRC,INST ANTARCTIC &amp; SO OCEAN STUDIES,GPO BOX 252-80,SANDY BAY,HOBART,TAS 7001,AUSTRALIA.</t>
  </si>
  <si>
    <t>skerratt, jennifer/N-4313-2019; Bowman, John P./ABF-5108-2020; Bowman, John P/C-2414-2014; Rea, Suzanne/J-6714-2013; Nichols, Peter D/C-5128-2011; Skerratt, Jennifer/F-2010-2015</t>
  </si>
  <si>
    <t>skerratt, jennifer/0000-0001-9023-4692; Bowman, John P./0000-0002-4528-9333; Bowman, John P/0000-0002-4528-9333; Rea, Suzanne/0000-0003-2548-0146; Skerratt, Jennifer/0000-0001-9023-4692; Nichols, David/0000-0002-8066-3132</t>
  </si>
  <si>
    <t>1325 MASSACHUSETTS AVENUE, NW, WASHINGTON, DC 20005-4171</t>
  </si>
  <si>
    <t>10.1099/00207713-47-4-1040</t>
  </si>
  <si>
    <t>YB183</t>
  </si>
  <si>
    <t>WOS:A1997YB18300017</t>
  </si>
  <si>
    <t>Franzmann, PD; Liu, YT; Balkwill, DL; Aldrich, HC; deMacario, EC; Boone, DR</t>
  </si>
  <si>
    <t>Methanogenium frigidum sp. nov., a psychrophilic, H-2-using methanogen from Ace Lake, Antarctica</t>
  </si>
  <si>
    <t>GROWTH-RATE; TEMPERATURE; BACTERIA; CULTURES</t>
  </si>
  <si>
    <t>Methanogenium frigidum sp, nov. was isolated from the perennially cold, anoxic hypolimnion of Ace Lake in a the Vesfold Hills of Antarctica. The cells were psychrophilic, exhibiting most rapid growth at 15 degrees C and no growth at temperatures above 18 to 20 degrees C. The cells were irregular, nonmotile coccoids (diameter, 1.2 to 2.5 mu m) that occurred singly and grew by CO2 reduction by using H-2 as a reductant. Format could replace H-2, but growth was slower, Acetate, methanol, and trimethylamine were not catabolized, Cells grew with acetate as the only organic compound in the culture medium, but growth was much faster in medium also supplemented with peptones and yeast extract, The cells were slightly halophilic; good growth occurred in medium supplemented crith 350 to 600 mM Na+, but no growth occurred with 100 or 850 mM Na+. The pH range for growth was 6.5 to 7.9; no growth occurred at pH 6.0 or 8.5. Growth was slow (maximum specific growth rate, 0.24 day(-1); doubling time, 2.9 days). This is the first report of a psychrophilic methanogen growing by CO2 reduction.</t>
  </si>
  <si>
    <t>OREGON GRAD INST SCI &amp; TECHNOL,DEPT ENVIRONM SCI &amp; ENGN,PORTLAND,OR 97291; UNIV TASMANIA,COOPERAT CTR ANTARCTIC &amp; SO OCEAN ENVIRONM,HOBART,TAS,AUSTRALIA; FLORIDA STATE UNIV,DEPT BIOL SCI,TALLAHASSEE,FL 32306; UNIV FLORIDA,DEPT MICROBIOL &amp; CELL SCI,GAINESVILLE,FL 32611; NEW YORK STATE DEPT HLTH,WADSWORTH CTR LABS &amp; RES,ALBANY,NY 12201</t>
  </si>
  <si>
    <t>University of Tasmania; State University System of Florida; Florida State University; State University System of Florida; University of Florida; State University of New York (SUNY) System; Wadsworth Center</t>
  </si>
  <si>
    <t>10.1099/00207713-47-4-1068</t>
  </si>
  <si>
    <t>WOS:A1997YB18300021</t>
  </si>
  <si>
    <t>Bjornsson, H; Mysak, LA; Schmidt, GA</t>
  </si>
  <si>
    <t>Mixed boundary conditions versus coupling with an energy-moisture balance model for a zonally averaged ocean climate model</t>
  </si>
  <si>
    <t>GENERAL-CIRCULATION MODEL; THERMOHALINE CIRCULATION; ATMOSPHERE MODEL; VARIABILITY; TEMPERATURE; FEEDBACK; DYNAMICS</t>
  </si>
  <si>
    <t>The Wright and Stocker oceanic thermohaline circulation model is coupled to a recently developed zonally averaged energy moisture balance model for the atmosphere. The results obtained with this coupled model are compared with those from an ocean-only model that employs mixed boundary conditions. The ocean model geometry uses either one zonally averaged interhemispheric basin (the ''Atlantic'') or two zonally averaged basins (roughly approximating the Atlantic and the Pacific Oceans) connected by a parameterized Antarctic Circumpolar Current. The differences in the steady states and their linear stability are examined over a wide range of parameters. The presence of additional feedbacks between the ocean circulation and the atmosphere and hydrological cycle in the coupled model produces significant differences between the latter and the ocean-only model, in both the one-basin and two-basin geometries. The two models generally have different (though similar) equilibria and, most importantly for the issue of climate change, the variability in the models near similar steady states is quite different. In the one-basin case, three different steady states were found with both models, an unstable two-cell circulation with equatorial upwelling, and two stable states with a one-cell (pole-to-pole) circulation. In the one-cell states, there is an interhemispheric oceanic heat transport that cannot affect the implicit atmosphere under mixed boundary conditions, but which changes the surface air temperature in the coupled model, and which also leads to several feedbacks on the ocean circulation. Consequently, the corresponding states in the coupled model are different from those in the ocean-only model. In the two-basin case, five basic steady states were found in the ocean-only model: a state with two cells in both basins, a conveyor state, a reverse conveyor state, a state with northern sinking circulation in both basins, and a state with southern sinking in both basins. The state with southern sinking in both basins could not be found in the coupled model. In addition, two more steady states, each with a two-cell circulation in one basin and a one-cell circulation in the other, were found for both models during sensitivity tests. The bifurcation structures for the two models are very different, and also, the two-basin conveyor circulation is shown to be more stable to freshwater perturbations in the coupled model. The authors conclude that due to the effects produced by the feedbacks in the coupled model, they must have serious reservations about the results concerning long-term climate variability obtained from ocean-only models. Thus, to investigate long-term climatic variability a coupled model is necessary.</t>
  </si>
  <si>
    <t>MCGILL UNIV,DEPT ATMOSPHER &amp; OCEAN SCI,MONTREAL,PQ H3A 2K6,CANADA</t>
  </si>
  <si>
    <t>McGill University</t>
  </si>
  <si>
    <t>Bjornsson, H (corresponding author), MCGILL UNIV,CTR CLIMATE &amp; GLOBAL CHANGE RES,805 SHERBROOKE W,MONTREAL,PQ H3A 2K6,CANADA.</t>
  </si>
  <si>
    <t>Schmidt, Gavin/D-4427-2012</t>
  </si>
  <si>
    <t>Schmidt, Gavin/0000-0002-2258-0486</t>
  </si>
  <si>
    <t>10.1175/1520-0442(1997)010&lt;2412:MBCVCW&gt;2.0.CO;2</t>
  </si>
  <si>
    <t>YC705</t>
  </si>
  <si>
    <t>WOS:A1997YC70500002</t>
  </si>
  <si>
    <t>Ohtani, S; Elphinstone, RD; Troshichev, OA; Yamauchi, M; Blomberg, L; Zanetti, LJ; Potemra, TA</t>
  </si>
  <si>
    <t>Response of the dayside auroral and electrodynamic processes to variations in the interplanetary magnetic field</t>
  </si>
  <si>
    <t>LATITUDE BOUNDARY-LAYER; ALIGNED CURRENT SYSTEMS; NORTH-SOUTH COMPONENT; POLAR-CAP; SOLAR-WIND; BIRKELAND CURRENTS; ELECTRIC-FIELDS; PARTICLE-PRECIPITATION; IONOSPHERIC CONVECTION; MAGNETOSHEATH PLASMA</t>
  </si>
  <si>
    <t>The response of the dayside auroral and electrodynamic processes to variations in the interplanetary magnetic field (IMF) is examined with multi-instrument data from the Viking and DMSP-F7 satellites as well as ground magnetometer data. The event selected, which occurred on October 5, 1986, was previously identified as a high-latitude dayside form by Murphree and Elphinstone [1988]. IMF B-Y was positive during most of the Viking auroral UV observation, whereas IMF B-Z made a transient southward excursion, followed by a sharp increase to +8 nT. The results are summarized as follows: (1) There were two auroral belts extending westward from the early afternoon sector. The equatorward belt was persistent throughout the event and was embedded in the CPS/BPS precipitation region, whereas the poleward belt was in the open field line region and was associated with northward IMF B-Z. (2) A new auroral spot emerged in the afternoon sector just poleward of the previously active region, delayed 10 min from the sudden increase in IMF B-Z. This time lag is ascribed to the travel time of the new IMF orientation from the subsolar point to a solar wind-magnetosphere interaction site tailward of the dayside cusp, as well as to the response time of the dayside auroral acceleration process. (3) The new auroral activity expanded both eastward and westward during the first few minutes and then expanded primarily westward across the noon meridian, forming the poleward belt. The speed of the westward extension in the second phase was comparable to the speed of the ionospheric convection. (4) The dayside auroral process has a finite decay constant, which is inferred to be at least 10 min. (5) The response time of the midday ionospheric convection to IMF variations is estimated to be a few to several minutes.</t>
  </si>
  <si>
    <t>ROYAL INST TECHNOL, ALFVEN LAB, S-10044 STOCKHOLM, SWEDEN; UNIV CALGARY, INST SPACE RES, CALGARY, AB T2N 1N4, CANADA; ARCTIC &amp; ANTARCTIC RES INST, ST PETERSBURG 199397, RUSSIA; SWEDISH INST PHYS, S-10044 KIRUNA, SWEDEN</t>
  </si>
  <si>
    <t>Royal Institute of Technology; University of Calgary; Arctic &amp; Antarctic Research Institute</t>
  </si>
  <si>
    <t>JOHNS HOPKINS UNIV, APPL PHYS LAB, JOHNS HOPKINS RD, LAUREL, MD 20723 USA.</t>
  </si>
  <si>
    <t>Zanetti, Lawrence J/H-4609-2016; Ohtani, Shinichi/E-3914-2016</t>
  </si>
  <si>
    <t>Ohtani, Shinichi/0000-0002-9565-6840</t>
  </si>
  <si>
    <t>OCT 1</t>
  </si>
  <si>
    <t>A10</t>
  </si>
  <si>
    <t>10.1029/97JA01907</t>
  </si>
  <si>
    <t>XZ208</t>
  </si>
  <si>
    <t>WOS:A1997XZ20800018</t>
  </si>
  <si>
    <t>Todd, CM; Block, W</t>
  </si>
  <si>
    <t>Responses to desiccation in four Coleopterans from sub-Antarctic South Georgia</t>
  </si>
  <si>
    <t>desiccation; coleoptera; sub-Antarctic; body water; waterless; survival; temperature; stress</t>
  </si>
  <si>
    <t>ARTHROPODS; COLLEMBOLA; RESISTANCE; HABITATS</t>
  </si>
  <si>
    <t>Rates of water loss were determined for four Coleoptera species:the herbivores Hydromedion sparsutum and Perimylops antarcticus (Family Perimylopidae) and the carnivores Trechisibus antarcticus and Oopterus soledadinus (Family Carabidae) collected during summer from a range of terrestrial habitats at South Georgia, A recording microbalance enabled measurement of individual weight loss with time in &lt; 5% r.h. at 10, 20, 30 and 35 degrees C. Adults of T. antarcticus had significantly higher rates of water loss than any other species over all temperatures, Individuals of both herbivores exhibited the slowest water loss rates under the experimental conditions, Within species, rates at 10 or 20 degrees C were slower than at the higher temperatures, Adult P. antarcticus had significantly greater amounts of body water than adult H. sparsutum for each of the four temperatures, Within species and life-stages of both herbivores, body water contents after drying at 10 degrees C were significantly lower than individuals dried at 30-35 degrees C, but no such differences were observed for the carnivores, At each temperature, rates of water loss were negatively correlated with initial live weight in all four species, but this was not the case within species or between adults and larvae, Maximum survival times during desiccation declined as temperature increased, but did not differ between species at 10 degrees C. Over 30-35 degrees C, survival times of both herbivores were significantly longer than either of the carnivores, Smaller insects (e.g. the carabids) had faster rates of water loss than the larger perimylopids under the same environmental conditions, The latter had greater resistance to desiccation than the former, It is suggested that the larger body water content of P. antarcticus enables it to resist desiccation more than the other three species, which correlates with its ecological distribution, Differences in water contents after drying individuals at low and high temperatures may be caused either by the water binding properties of cells and tissues or by reduction in energy stores in order to maintain metabolism at lower environmental temperatures causing a body weight loss. Whilst both herbivores show some physiological adaptations to drying conditions, it is suggested that the two carnivorous beetles may have adapted behaviourally to the South Georgia environment. (C) 1997 Elsevier Science Ltd. All rights reserved.</t>
  </si>
  <si>
    <t>BRITISH ANTARCTIC SURVEY,NERC,CAMBRIDGE CB3 0ET,ENGLAND</t>
  </si>
  <si>
    <t>10.1016/S0022-1910(97)00055-3</t>
  </si>
  <si>
    <t>YK979</t>
  </si>
  <si>
    <t>WOS:A1997YK97900003</t>
  </si>
  <si>
    <t>Ribbe, J; Tomczak, M</t>
  </si>
  <si>
    <t>On convection and the formation of Subantarctic Mode Water in the Fine Resolution Antarctic Model (FRAM)</t>
  </si>
  <si>
    <t>JOURNAL OF MARINE SYSTEMS</t>
  </si>
  <si>
    <t>Antarctic Ocean; convection; models; ocean circulation; tracers</t>
  </si>
  <si>
    <t>WORLD OCEAN MODEL; SOUTHERN-OCEAN; INTERMEDIATE WATER; RADIOCARBON; ATLANTIC; MASSES; GEOSAT</t>
  </si>
  <si>
    <t>We investigate the formation of Subantarctic Mode Water (SAMW) in the Fine Resolution Antarctic Model (FRAM). FRAM velocity fields are applied to advect an ideal tracer in an off-line diffusion and advection model of the Southern Ocean, and the results from two computational experiments are reported. In the first of our experiments, the tracer was released to the south of the Antarctic Polar Front (APF), in the second experiment to the north of the front. In this manner, we obtain insight into the SAMW formation process and the relative importance of convection, downwelling, vertical mixing and subduction in FRAM. The modelled tracer distribution was not in a steady state; however, good overall agreement was found between the modelled and the observed climatological distribution of ventilated water. The formation of SAMW in the model is found to be only weak for the southeast Pacific Ocean. In contrast, Indian Ocean SAMW is ventilating the Indian Ocean thermocline and is advected eastward into the Pacific Ocean. We give a quantitative estimate for the amount of Antarctic and subantarctic surface water found north of the APF and find that its contribution to ventilated water in the upper thermocline is significant. (C) 1997 Elsevier Science B.V.</t>
  </si>
  <si>
    <t>FLINDERS UNIV S AUSTRALIA,INST ATMOSPHER &amp; MARINE SCI,ADELAIDE,SA 5001,AUSTRALIA</t>
  </si>
  <si>
    <t>Ribbe, Joachim/0000-0001-6749-1228; Tomczak, Matthias/0000-0002-8416-5851</t>
  </si>
  <si>
    <t>0924-7963</t>
  </si>
  <si>
    <t>J MARINE SYST</t>
  </si>
  <si>
    <t>J. Mar. Syst.</t>
  </si>
  <si>
    <t>10.1016/S0924-7963(96)00119-4</t>
  </si>
  <si>
    <t>Geosciences, Multidisciplinary; Marine &amp; Freshwater Biology; Oceanography</t>
  </si>
  <si>
    <t>Geology; Marine &amp; Freshwater Biology; Oceanography</t>
  </si>
  <si>
    <t>YB194</t>
  </si>
  <si>
    <t>WOS:A1997YB19400009</t>
  </si>
  <si>
    <t>Stam, WW; Beintema, JJ; DAvino, R; Tamburrini, M; diPrisco, G</t>
  </si>
  <si>
    <t>Molecular evolution of hemoglobins of Antarctic fishes (Notothenioidei)</t>
  </si>
  <si>
    <t>JOURNAL OF MOLECULAR EVOLUTION</t>
  </si>
  <si>
    <t>Antarctica; cold-adapted teleosts; hemoglobin; most parsimonious tree; Notothenioidei</t>
  </si>
  <si>
    <t>AMINO-ACID-SEQUENCE; OXYGEN-BINDING PROPERTIES; SINGLE HEMOGLOBIN; ALPHA-GLOBIN; TELEOST; MITOCHONDRIAL; PERCIFORMES; EQUILIBRIA; COMPONENTS; FAMILY</t>
  </si>
  <si>
    <t>Amino acid sequences of alpha- and beta-chains of human hemoglobin and of hemoglobins of coelacanth and 24 teleost fish species, including 11 antarctic and two temperate Notothenioidei, were analyzed using maximum parsimony. Trees were derived for the alpha- and beta-chains separately and for tandemly arranged sequences, using the human and coelacanth sequences as outgroups in all analyses. The topologies of the trees of the alpha- and beta-chains are highly congruent and indicate a specific pattern of gene duplications and gene expression of teleost hemoglobins which has not yet been investigated into more detail. The Notothenioid fish generally contain a single major hemoglobin and often a second minor component. The alpha- and beta-chains of the major components form a monophyletic group in all investigated trees, with the nonantarctic Pseudaphritis as their sister taxon. The minor chains also are a monophyletic group and form an unresolved cluster with the major chains and the hemoglobins of tuna and red gurnard. The Notothenioid families Nototheniidae and Bathydraconidae appear to be paraphyletic.</t>
  </si>
  <si>
    <t>UNIV GRONINGEN,DEPT BIOCHEM,NL-9747 AG GRONINGEN,NETHERLANDS; UNIV GRONINGEN,DEPT MARINE BIOL,NL-9751 NN HAREN,NETHERLANDS; CNR,INST PROT BIOCHEM &amp; ENZYMOL,I-80125 NAPLES,ITALY</t>
  </si>
  <si>
    <t>University of Groningen; University of Groningen; Consiglio Nazionale delle Ricerche (CNR); Istituto di Biochimica delle Proteine (IBP-CNR)</t>
  </si>
  <si>
    <t>TAMBURRINI, MAURIZIO/0000-0001-5987-0957</t>
  </si>
  <si>
    <t>0022-2844</t>
  </si>
  <si>
    <t>J MOL EVOL</t>
  </si>
  <si>
    <t>J. Mol. Evol.</t>
  </si>
  <si>
    <t>10.1007/PL00006248</t>
  </si>
  <si>
    <t>Biochemistry &amp; Molecular Biology; Evolutionary Biology; Genetics &amp; Heredity</t>
  </si>
  <si>
    <t>XX824</t>
  </si>
  <si>
    <t>WOS:A1997XX82400012</t>
  </si>
  <si>
    <t>Welsch, U; Riedelsheimer, B</t>
  </si>
  <si>
    <t>Histophysiological observations on the external auditory meatus, middle, and inner ear of the Weddell seal (Leptonychotes weddelli)</t>
  </si>
  <si>
    <t>JOURNAL OF MORPHOLOGY</t>
  </si>
  <si>
    <t>The external auditory meatus, middle, and inner ear of the deep-diving Weddell seal (Leptonychotes weddelli) were studied with light microscopic, histological, and histochemical techniques in order to contribute to the open discussion on the orientation of this seal in the darkness of the deep Antarctic seas. The external auditory meatus is characterized by a well-developed venous plexus, single apocrine ceruminous, and numerous holocrine sebaceous glands and an incomplete tube of elastic cartilage. The tympanic membrane is comprised of two layers of radially and concentrically arranged collagen fibers and by elastic fibers which are concentrated in the outer part of the ear drum. The tympanic cavity is lined by a pseudostratified prismatic ciliated epithelium with goblet cells; a plexus of wide venous vessels marks the subepithelial lamina propria. The cochlea is about 10 mm high and forms about two and a half turns. The richly pigmented stria vascularis is well vascularized, while the cell-rich prominentia spiralis contains only single small blood vessels. The organ of Corti contains one row of inner and three rows of outer hair cells. Cells of Hensen, Claudius, and Boettcher are present. The basilar membrane is of comparatively uniform simple structure and is composed of abundant glycoproteins, proteoglycans, collagenous fibers, and the loose tissue of the tympanal layer. The spiral ligament is built up by abundant proteoglycans and a complex system of radial and concentric collagen fibers; close to the osseous wall of the bony cochlea it contains fine elastic fibers. The inner zone of the osseous wall of the cochlea strikingly contains hyaline cartilage. The thin lamina spiralis ossea is covered by a limbus spiralis with interdental cells secreting the lamina tectoria, which has a fibrous texture and contains glycoproteins and negatively charged components. (C) 1997 Wiley-Liss, Inc.</t>
  </si>
  <si>
    <t>Welsch, U (corresponding author), UNIV MUNICH,ANAT ANSTALT,LEHRSTUHL 2,PETTENKOFERSTR 11,D-80336 MUNICH,GERMANY.</t>
  </si>
  <si>
    <t>WILEY-LISS</t>
  </si>
  <si>
    <t>DIV JOHN WILEY &amp; SONS INC, 605 THIRD AVE, NEW YORK, NY 10158-0012</t>
  </si>
  <si>
    <t>0362-2525</t>
  </si>
  <si>
    <t>J MORPHOL</t>
  </si>
  <si>
    <t>J. Morphol.</t>
  </si>
  <si>
    <t>Anatomy &amp; Morphology</t>
  </si>
  <si>
    <t>XZ229</t>
  </si>
  <si>
    <t>WOS:A1997XZ22900003</t>
  </si>
  <si>
    <t>DeMarino, S; Iorizzi, M; Zollo, F; Minale, L; Amsler, CD; Baker, BJ; McClintock, JB</t>
  </si>
  <si>
    <t>Isolation, structure elucidation, and biological activity of the steroid oligoglycosides and polyhydroxysteroids from the Antarctic starfish Acodontaster conspicuus</t>
  </si>
  <si>
    <t>POLYHYDROXYLATED MARINE STEROIDS; STEREOCHEMICAL ASSIGNMENTS; 4-METHYLENE STEROLS; THEONELLA-SWINHOEI; GLYCOSIDE SULFATES; SAPONINS; C-24; IDENTIFICATION; CONFIGURATION; SPECTROSCOPY</t>
  </si>
  <si>
    <t>A total of 19 steroids, of which 13 steroidal oligoglycosides (nine new and four known) and six polyhydroxylated steroids (four new and two known), has been isolated from the Antarctic starfish Acodontaster conspicuus. The mixture is dominated by glycosides composed of steroidal aglycons having the hydroxyl groups typically disposed on one side of the tetracyclic nucleus, i.e., 3 beta,4 beta,6 alpha,8,15 beta-, with some having a sulfate at C-6, and differing in the side chains and/or in the disaccharide moieties that are usually attached at C-26, with some at C-28 and C-29. Those compounds are accompanied by minute amounts of glycosides with a Delta(8(14))-double bond in the steroid, which is a structural feature not previously found among polyhydroxysteroids derived from starfish. Small amounts of six related unglycosidated polyhydroxysteroids and three higher-molecular-weight asterosaponins complete the composition of the mixture. The structures of the new compounds were determined by interpretation of their spectral data and by comparison with spectral data of known compounds. Eighteen of these compounds were evaluated for their ability to inhibit growth in Antarctic marine bacteria isolated from either the water column or the surfaces of benthic marine invertebrates. Of these compounds, 50% were active against at least one Antarctic marine bacterium. This suggests that these compounds may play an important role in deterring microbial fouling.</t>
  </si>
  <si>
    <t>UNIV NAPLES FEDERICO II,DIPARTIMENTO CHIM SOSTANZE NAT,I-80131 NAPLES,ITALY; UNIV MOLISE,DIPARTIMENTO SCI &amp; TECNOL AGROALIMENTARI AMBIENTA,I-86100 CAMPOBASSO,ITALY; UNIV ALABAMA,DEPT BIOL,BIRMINGHAM,AL 35294; FLORIDA INST TECHNOL,DEPT CHEM,MELBOURNE,FL 32901</t>
  </si>
  <si>
    <t>University of Naples Federico II; University of Molise; University of Alabama System; University of Alabama Birmingham; Florida Institute of Technology</t>
  </si>
  <si>
    <t>Baker, Bill/N-4312-2019; Iorizzi, Maria/F-4491-2012; De Marino, Simona/AAZ-5662-2021</t>
  </si>
  <si>
    <t>Iorizzi, Maria/0000-0002-8653-6628; Amsler, Charles/0000-0002-4843-3759; Zollo, Franco/0000-0002-2004-5711; De Marino, Simona/0000-0002-0300-5048</t>
  </si>
  <si>
    <t>10.1021/np9700578</t>
  </si>
  <si>
    <t>YD222</t>
  </si>
  <si>
    <t>WOS:A1997YD22200001</t>
  </si>
  <si>
    <t>Gille, ST</t>
  </si>
  <si>
    <t>The Southern Ocean momentum balance: Evidence for topographic effects from numerical model output and altimeter data</t>
  </si>
  <si>
    <t>ANTARCTIC CIRCUMPOLAR CURRENT; BETA-PLANE CHANNEL; WIND-DRIVEN; VARIABILITY; CIRCULATION; DYNAMICS; FLUX; FLOW</t>
  </si>
  <si>
    <t>The momentum balance of the Antarctic Circumpolar Current is investigated using both output from a high-resolution primitive equation model and sea surface height measurements from the Geosat altimeter. In the Semtner-Chervin general circulation model, run with approximately one-quarter degree resolution and time-varying ECMWF winds, topographic form stress is the dominant process balancing the surface wind forcing. Detailed examination of form stress in the model indicates that it is due to three large topographic obstructions located at Kerguelen Island, Campbell Plateau, and Drake Passage. The difference between wind stress and form stress represents the lateral transfer of momentum into and out of the ACC. It is examined both in zonal coordinates to conform to the model architecture and along mean streamlines in order to reduce the effects of standing eddies. In this particular model, in stream coordinates, biharmonic friction dominates the lateral transfer of momentum. Since biharmonic friction is a parameterization of subgrid-scale transient eddy processes, this indicates that the unresolved transient eddy processes play a critical role in fluxing momentum across the ACC in this model. Although the relative importance of individual terms in the momentum balance does not vary substantially along streamlines, elevated levels of eddy kinetic energy are associated with the three major topographic features. In contrast, altimeter data show elevated energy levels at many more topographic features of intermediate scales, suggesting that smaller topographic effects are better able to communicate with the surface in the real ocean than in the model.</t>
  </si>
  <si>
    <t>UNIV CALIF SAN DIEGO, DIV PHYS OCEANOG RES, SCRIPPS INST OCEANOG, LA JOLLA, CA 92093 USA.</t>
  </si>
  <si>
    <t>Gille, Sarah T./B-3171-2012</t>
  </si>
  <si>
    <t>Gille, Sarah/0000-0001-9144-4368</t>
  </si>
  <si>
    <t>1520-0485</t>
  </si>
  <si>
    <t>10.1175/1520-0485(1997)027&lt;2219:TSOMBE&gt;2.0.CO;2</t>
  </si>
  <si>
    <t>YA958</t>
  </si>
  <si>
    <t>WOS:A1997YA95800010</t>
  </si>
  <si>
    <t>Pugh, PJA; Llewellyn, PJ; Robinson, K; Shackley, SE</t>
  </si>
  <si>
    <t>The associations of phoretic mites (Acarina: Chelicerata) with sand-hoppers (Amphipoda: Crustacea) on the South Wales coast</t>
  </si>
  <si>
    <t>TRASKORCHESTIA-TRASKIANA STIMPSON; TALITRUS-SALTATOR CRUSTACEA; LOCOMOTOR-ACTIVITY RHYTHM; 1857 CRUSTACEA; BEACH; ECOLOGY; DIPTERA; GEORGIA</t>
  </si>
  <si>
    <t>Mites of the genera Halolaelaps and Phaulodinychus (Gamasida), together with Histiostoma (Acaridida) (Acarina: Chelicerata), occur amongst tidal debris strandlines on the sandy shores of the South Wales coast. Phoretic deuteronymphs of all three mites are dispersed between strandlines via talitrid amphipods (Talitridae: Amphipoda: Crustacea) which provide two principal advantages over the insect hosts used by most other phoretic Acarina. First, amphipods migrate between strandlines throughout the year allowing continual phoretic mite dispersal, and second, even juvenile Talitridae are sufficiently large to transport several mites. The highly aggregated populations of all three mites are distributed independently of amphipod age, sex and species, suggesting that host selection is primarily influenced by other factors. The most likely factors are chose related to host behaviour and, in particular, monthly/diurnal quiescence when the mites encounter, and are bearded by, the desiccation-sensitive phoretic mites. The discrete site selection exhibited by each mite species is at least partly influenced by attachment mechanisms.</t>
  </si>
  <si>
    <t>UNIV COLL SWANSEA, SCH BIOL SCI, SWANSEA SA2 8PP, W GLAM, WALES</t>
  </si>
  <si>
    <t>Swansea University</t>
  </si>
  <si>
    <t>10.1111/j.1469-7998.1997.tb02784.x</t>
  </si>
  <si>
    <t>YC963</t>
  </si>
  <si>
    <t>WOS:A1997YC96300007</t>
  </si>
  <si>
    <t>Phleger, CF; Nichols, PD; Virtue, P</t>
  </si>
  <si>
    <t>Lipids and buoyancy in southern ocean pteropods</t>
  </si>
  <si>
    <t>LIPIDS</t>
  </si>
  <si>
    <t>DIACYL GLYCERYL ETHERS; FATTY-ACID; EUPHAUSIA-SUPERBA; ANTARCTIC KRILL; LIVER OIL; STEROLS; WATERS</t>
  </si>
  <si>
    <t>The lipids of Clione limacina, a Southern Ocean pteropod (order Gymnosomata), contain 28% diacylglyceryl ether (DAGE) (as percentage of total lipid) whereas the pteropod Limacina helicina (order Thecosomata) lacks DAGE. The alkyl glyceryl ether diols (1-O-alkyl glycerols, GE) of Clione DAGE are dominated by 16:0 (60%) and 15:0 (21%), in contrast with deep-sea shark liver DAGE, which is dominated by 18:1 GE. The fatty acid profiles of Clione and Limacina are similar (28-32% polyunsaturated, 26-34% monounsaturated) as are the sterols, which include 24-methylenecholesterol, transdehydrocholesterol, cholesterol, and desmosterol. This finding probably reflects the fact that Limacina is the major food source for Clione. Spongiobranchaea australis, another Southern Ocean pteropod (order Gymnosomata), has 0.9-1.7% DAGE, but has less lipid (3.3-4.8 mg/g lipid, wet weight) than Clione (50.8 mg/g lipid, wet weight). We propose a buoyancy role for DAGE in Clione since Limacina has bubbles for flotation which Clione lack; DAGE provides 23% more uplift than triacylglycerol at a concentration of 1.025 g/mL seawater.</t>
  </si>
  <si>
    <t>CSIRO,DIV MARINE RES,HOBART,TAS 7001,AUSTRALIA; CSIRO,ANTARCTIC COOPERAT RES CTR,HOBART,TAS 7001,AUSTRALIA</t>
  </si>
  <si>
    <t>Commonwealth Scientific &amp; Industrial Research Organisation (CSIRO); Commonwealth Scientific &amp; Industrial Research Organisation (CSIRO)</t>
  </si>
  <si>
    <t>Phleger, CF (corresponding author), SAN DIEGO STATE UNIV,DEPT BIOL,SAN DIEGO,CA 92182, USA.</t>
  </si>
  <si>
    <t>Virtue, Patti/0000-0002-9870-1256</t>
  </si>
  <si>
    <t>AMER OIL CHEMISTS SOC</t>
  </si>
  <si>
    <t>CHAMPAIGN</t>
  </si>
  <si>
    <t>1608 BROADMOOR DRIVE, CHAMPAIGN, IL 61821-0489</t>
  </si>
  <si>
    <t>0024-4201</t>
  </si>
  <si>
    <t>Lipids</t>
  </si>
  <si>
    <t>10.1007/s11745-997-0141-x</t>
  </si>
  <si>
    <t>Biochemistry &amp; Molecular Biology; Nutrition &amp; Dietetics</t>
  </si>
  <si>
    <t>YC222</t>
  </si>
  <si>
    <t>WOS:A1997YC22200010</t>
  </si>
  <si>
    <t>Gibbons, MJ</t>
  </si>
  <si>
    <t>Pelagic biogeography of the South Atlantic Ocean</t>
  </si>
  <si>
    <t>BENGUELA UPWELLING SYSTEM; COMMUNITY STRUCTURE; MACROZOOPLANKTON; EUPHAUSIIDS; AFRICA; ZOOGEOGRAPHY; ASSEMBLAGES; ZOOPLANKTON; MIGRATION; DIVERSITY</t>
  </si>
  <si>
    <t>The biogeography of the South Atlantic was investigated using presence/absence data for euphausiids. Records were taken from recent and historic, as well as published and unpublished data sets. The resulting biogeography is the most complete to date and can be usefully compared with the biogeochemical provinces for the region. A total of six biogeographic provinces were identified from similarity analyses of the 246 five-degree grid squares. These correspond to Antarctic, sub-Antarctic, cold temperate, warm temperate (subtropical) and tropical waters, as well as the Agulhas Current. Congruence with the biogeochemistry of the region is good in the south and emphasises the important determinate role of temperature. However, the biogeography fails to identify coastal and tropical biogeochemical provinces. This can be attributed to the fact that while adjoining areas may share many species in common, their assemblages differ in their quantitative composition. This serves to emphasise differences in provincial functioning.</t>
  </si>
  <si>
    <t>Gibbons, MJ (corresponding author), UNIV WESTERN CAPE,DEPT ZOOL,PRIVATE BAG X17,ZA-7535 BELLVILLE,SOUTH AFRICA.</t>
  </si>
  <si>
    <t>Gibbons, Mark/A-8806-2008</t>
  </si>
  <si>
    <t>Gibbons, Mark/0000-0002-8320-8151</t>
  </si>
  <si>
    <t>10.1007/s002270050218</t>
  </si>
  <si>
    <t>YF838</t>
  </si>
  <si>
    <t>WOS:A1997YF83800022</t>
  </si>
  <si>
    <t>Lodolo, E; Coren, F; Schreider, AA; Ceccone, G</t>
  </si>
  <si>
    <t>Geophysical evidence of a relict oceanic crust in the southwestern Scotia Sea</t>
  </si>
  <si>
    <t>Southwestern Scotia Sea; oldest oceanic crust; diffuse spreading; magnetic anomalies; multichannel seismic reflection data; satellite-derived gravity data</t>
  </si>
  <si>
    <t>ANTARCTIC PENINSULA; PLATE BOUNDARY; TECTONICS; ARC</t>
  </si>
  <si>
    <t>The southwestern part of the Scotia Sea, at the corner of the Shackleton Fracture Zone with the South Scotia Ridge has been investigated, combining marine magnetic profiles, multichannel seismic reflection data, and satellite-derived gravity anomaly data. From the integrated analysis of data, we identified the presence of the oldest part of the crust in this sector, which tentative age is older than anomaly C10 (28.7 Ma). The area is surrounded by structural features clearly imaged by seismic data, which correspond to gravity lows in the satellite-derived map, and presents a rhomboid-shaped geometry. Along its southern boundary, structural features related to convergence and possible incipient subduction beneath the continental South Scotia Ridge have been evidenced from the seismic profile. We interpret this area, now located at the edge of the southwestern Scotia Sea, as a relict of ocean-like crust formed during an earlier, possibly diffuse and disorganized episode of spreading at the first onset of the Drake Passage opening. The successive episode of organized seafloor spreading responsible for the opening of the Drake Passage that definitively separated southern South America from the Antarctic Peninsula, instigated ridge-push forces that can account for the subduction-related structures found along the western parr of the South Scotia Ridge. This seafloor accretion phase occurred from 27 to about 10 Ma, when spreading slopped in the western Scotia Sea Ridge, as resulted From the identification of the marine magnetic anomalies.</t>
  </si>
  <si>
    <t>Osservatorio Geofis Sperimentale, I-34016 Trieste, Italy; Russian Acad Sci, PP Shirshov Oceanol Inst, Moscow, Russia</t>
  </si>
  <si>
    <t>Istituto Nazionale di Oceanografia e di Geofisica Sperimentale; Russian Academy of Sciences; Shirshov Institute of Oceanology</t>
  </si>
  <si>
    <t>Lodolo, E (corresponding author), Osservatorio Geofis Sperimentale, POB 2011, I-34016 Trieste, Italy.</t>
  </si>
  <si>
    <t>Sazhneva, Alexandra/HPG-9897-2023</t>
  </si>
  <si>
    <t>LODOLO, Emanuele/0000-0002-4706-2095; COREN, Franco/0000-0002-7160-1001</t>
  </si>
  <si>
    <t>10.1023/A:1004355707951</t>
  </si>
  <si>
    <t>103AP</t>
  </si>
  <si>
    <t>WOS:000074958700005</t>
  </si>
  <si>
    <t>Bell, CM; Hindell, MA; Burton, HR</t>
  </si>
  <si>
    <t>Estimation of body mass in the southern elephant seal, Mirounga leonina, by photogrammetry and morphometrics</t>
  </si>
  <si>
    <t>MARINE MAMMAL SCIENCE</t>
  </si>
  <si>
    <t>mass; mass estimation; Mirounga leonina; morphometrics; pinniped; photogrammetry; southern elephant seal</t>
  </si>
  <si>
    <t>WHALES</t>
  </si>
  <si>
    <t>A simple photographic technique was developed to indirectly estimate body mass data for southern elephant seal (Mirounga leonina) cows (postlactation), yearlings, and immature males and females. Regressions of mass on both photographic and morphometric variables (together and separately) yielded useful, predictable models. Using such variables, the best estimation of the actual mass was for postlactation cows, with a 95% confidence interval of +/- 2.66% of the predicted body mass. Although combining photographic and morphometric variables produced the most reliable models specifically for cows and yearlings, the most practical model contained only the morphometric variables length and girth squared. Side area was the best correlated single photographic variable and this corresponded with other studies. Photogrammetry could be useful when animals cannot be sedated and are located on a flat surface, but it does require animals to be motionless when approached. Thus, the procedure may be more suited to bulls rather than other age classes and could have a role in studies where large numbers of mass estimations are rapidly required. If sedation is utilized in smaller animals, then the use of body length and girth is the most suitable indirect mass estimation technique to avoid the use of heavy weighing equipment.</t>
  </si>
  <si>
    <t>UNIV TASMANIA,DEPT ZOOL,HOBART,TAS 7001,AUSTRALIA; AUSTRALIAN ANTARCTIC DIV,KINGSTON,TAS 7050,AUSTRALIA</t>
  </si>
  <si>
    <t>Hindell, Mark A/K-1131-2013; Hindell, Mark A/C-8368-2013</t>
  </si>
  <si>
    <t>SOC MARINE MAMMALOGY</t>
  </si>
  <si>
    <t>1041 NEW HAMPSHIRE ST, LAWRENCE, KS 66044</t>
  </si>
  <si>
    <t>0824-0469</t>
  </si>
  <si>
    <t>MAR MAMMAL SCI</t>
  </si>
  <si>
    <t>Mar. Mamm. Sci.</t>
  </si>
  <si>
    <t>10.1111/j.1748-7692.1997.tb00090.x</t>
  </si>
  <si>
    <t>YA660</t>
  </si>
  <si>
    <t>WOS:A1997YA66000008</t>
  </si>
  <si>
    <t>Herzfeld, UC; Lingle, CS; Freeman, C; Higginson, CA; Lambert, MP; Lee, LH; Voronina, VA</t>
  </si>
  <si>
    <t>Monitoring changes of ice streams using time series of satellite-altimetry-based digital terrain models</t>
  </si>
  <si>
    <t>MATHEMATICAL GEOLOGY</t>
  </si>
  <si>
    <t>Lambert Glacier Amery Ice Shelf; geostatistical evaluation; Seasat; Geosat; grounding line; elevation changes</t>
  </si>
  <si>
    <t>RADAR ALTIMETRY; LAMBERT GLACIER; ANTARCTICA; SHEETS</t>
  </si>
  <si>
    <t>The Antarctic Ice Sheet plays a major role in the global system, and the large ice streams discharging into the circumpolar sea represent its gateways to the world's oceans. Satellite radar altimeter data provide an opportunity for mapping surface elevation at kilometer-resolution with meter-accuracy. Geostatistical methods have been developed for the analysis of these data. Applications to Seasat data and data from the Geosat Exact Repeat Mission indicate that the grounding line of Lambert Glacier/Amery Ice Shelf the largest ice stream in East Antarctica, has advanced 10-12 km between 1978 and 1987-89. The objectives of this paper are to explore possibilities and limitations of satellite-altimetry-based mapping to capture changes for shorter time windows and for smaller areas, and to investigate some methodological aspects of the data analysis. We establish that one season of radar altimeter data is sufficient for constructing a map. This allows study of interannual variation and is the key for a time-series analysis approach to study changes in ice streams. Maps of the lower Lambert Glacier and the entire Amery Ice Shelf are presented for austral winters 1978, 1987, 1988, and 1989. As a first step toward understanding the dynamics of the ice-stream/ice-shelf system, elevation changes are calculated for grounded ice, the grounding zone, and floating ice. In the absence of (sufficient) surface gravity control for the Lambert Glacier/Amery Ice Shelf area, altimetry-based maps may facilitate improvement of geoid models as they provide constraints on the terrain correction in the inverse gravimetric problem.</t>
  </si>
  <si>
    <t>UNIV ALASKA, INST GEOPHYS, FAIRBANKS, AK 99775 USA; UNIV CALIF SAN DIEGO, SCRIPPS INST OCEANOG, LA JOLLA, CA 92093 USA; UNIV TRIER, FACHBEREICH GEOWISSENSCH, D-54286 TRIER, GERMANY</t>
  </si>
  <si>
    <t>University of Alaska System; University of Alaska Fairbanks; University of California System; University of California San Diego; Scripps Institution of Oceanography; Universitat Trier</t>
  </si>
  <si>
    <t>Herzfeld, UC (corresponding author), UNIV COLORADO, INST ARCTIC &amp; ALPINE RES, CAMPUS BOX 450, BOULDER, CO 80309 USA.</t>
  </si>
  <si>
    <t>Herzfeld, Ute/AAE-5115-2019</t>
  </si>
  <si>
    <t>Herzfeld, Ute/0000-0002-5694-4698</t>
  </si>
  <si>
    <t>PLENUM PUBL CORP</t>
  </si>
  <si>
    <t>233 SPRING ST, NEW YORK, NY 10013</t>
  </si>
  <si>
    <t>0882-8121</t>
  </si>
  <si>
    <t>MATH GEOL</t>
  </si>
  <si>
    <t>Math. Geol.</t>
  </si>
  <si>
    <t>Geosciences, Multidisciplinary; Mathematics, Interdisciplinary Applications</t>
  </si>
  <si>
    <t>Geology; Mathematics</t>
  </si>
  <si>
    <t>YE811</t>
  </si>
  <si>
    <t>WOS:A1997YE81100001</t>
  </si>
  <si>
    <t>Grasso, S; Bruni, V; Maio, G</t>
  </si>
  <si>
    <t>Marine fungi in Terra Nova Bay (Ross Sea, Antarctica)</t>
  </si>
  <si>
    <t>MICROBIOLOGICA</t>
  </si>
  <si>
    <t>Antarctic marine fungi; deuteromycotina; ascomycotina; Ross Sea</t>
  </si>
  <si>
    <t>The occurrence of lignicolous marine fungi in Antarctic marine water far from the coast is reported. Thirty-six wooden baits (beech and poplar), hung in a metallic structure were immersed in Penguin Bay (Adelie Cove) at a depth of 50 m for a year. Fourteen species belonging to Deuteromycotina and six Ascomycotina were observed on the baits examined in Italy. Phoma sp., Trichocladium achrasporum, Trichocladium constrictum and Trichocladium lignincola were the predominant species. Phoma sp., the first species, are not typically marine, but rather of terrestrial origin. Penguin dung proximity can explain this occurrence.</t>
  </si>
  <si>
    <t>Grasso, S (corresponding author), UNIV MESSINA,DIPARTIMENTO BIOL ANIM &amp; ECOL MARINA,CONTRADA PAPARDO 31,I-98166 MESSINA,ITALY.</t>
  </si>
  <si>
    <t>LUIGI PONZIO E FIGLIO</t>
  </si>
  <si>
    <t>PAVIA</t>
  </si>
  <si>
    <t>VIA D DA CATALOGNA 1/3, 27100 PAVIA, ITALY</t>
  </si>
  <si>
    <t>1121-7138</t>
  </si>
  <si>
    <t>Microbiologica</t>
  </si>
  <si>
    <t>YF608</t>
  </si>
  <si>
    <t>WOS:A1997YF60800013</t>
  </si>
  <si>
    <t>Davey, MC; Rothery, P</t>
  </si>
  <si>
    <t>Interspecific variation in respiratory and photosynthetic parameters in Antarctic bryophytes</t>
  </si>
  <si>
    <t>NEW PHYTOLOGIST</t>
  </si>
  <si>
    <t>Antarctica; bryophytes; environmental change; photosynthesis; respiration</t>
  </si>
  <si>
    <t>ENVIRONMENTAL-CHANGE; TERRESTRIAL; PLANTS</t>
  </si>
  <si>
    <t>Rates of carbon flux in 14 species of Antarctic bryophytes were measured under controlled conditions using an infra-red gas analysis system. The results were used to produce estimates of model parameters for respiration and photosynthesis. The relationships between respiration; photosynthesis, irradiance and temperature followed standard patterns. Temperature optima for gross and net photosynthesis were 10-20 and 0-20 degrees C respectively, suggesting that the plants were not truly psychrophilic. Photosynthesis was saturated at 30-270 mu mol m(-2) s(-1), consistent with the view that bryophytes are, physiologically, shade plants, although there was no evidence of photoinhibition over the range of irradiances tested (up to 700 mu mol m(-2) s(-1)). Comparison of the results with environmental data suggests that photosynthesis is usually temperature-limited during daylight in the growing season. Therefore, any change in the temperature of the habitat could affect the productivity of the bryophytes. Rates of photosynthesis varied widely between species, and these relationships were largely maintained over the range of temperatures and irradiances tested. Photosynthetic rankings were correlated with the water availability in the plant habitats, supporting the hypothesis that water is the important factor in determining the distribution of populations in Antarctic habitats.</t>
  </si>
  <si>
    <t>INST TERR ECOL,MONKS WOOD EXPT STN,HUNTINGDON PE17 2LS,CAMBS,ENGLAND</t>
  </si>
  <si>
    <t>UK Centre for Ecology &amp; Hydrology (UKCEH)</t>
  </si>
  <si>
    <t>Davey, MC (corresponding author), BRITISH ANTARCTIC SURVEY,NERC,HIGH CROSS,MADINGLEY RD,CAMBRIDGE CB3 0ET,ENGLAND.</t>
  </si>
  <si>
    <t>40 WEST 20TH STREET, NEW YORK, NY 10011-4211</t>
  </si>
  <si>
    <t>0028-646X</t>
  </si>
  <si>
    <t>NEW PHYTOL</t>
  </si>
  <si>
    <t>New Phytol.</t>
  </si>
  <si>
    <t>10.1046/j.1469-8137.1997.00805.x</t>
  </si>
  <si>
    <t>YG099</t>
  </si>
  <si>
    <t>WOS:A1997YG09900005</t>
  </si>
  <si>
    <t>Hovenden, M</t>
  </si>
  <si>
    <t>Effects of a rapid, unseasonal rewetting event on mineral location in Antarctic lichens</t>
  </si>
  <si>
    <t>Antarctic lichen; mineral; Umbilicaria decussata; Usnea sphacelata; membrane integrity and freezing tolerance</t>
  </si>
  <si>
    <t>During the middle of the 1992 austral winter in the northern Windmill Islands, continental Antarctica, a highly unusual climatic event occurred in which the air temperature exceeded 0 degrees C for some 60 h, at the end of which there was a significant rain shower before the ambient temperature returned to subzero conditions. This event caused most of the snow cover to melt and refreeze as clear ice. Lichens were thus rehydrated in the dark, in some places completely inundated, then frozen in ice. The effect that these conditions had on the distribution of K, Na, Mg and Ca within the thallus was estimated for two of the dominant macrolichen species, Umbilicaria decussata (VIII.) Zahlbr. and Usnea sphacelata R.Br, from three sites on a knell on Clark Peninsula. One site acted as a natural control, owing to the very deep snow cover at the site, which protected lichens from the rewetting event. Despite persistent differences between species and the various sites, there was no overall effect of the climatic event on the membrane integrity of either lichen species. Only Usnea sphacelata from the most exposed site showed a significant leakage of K across the cell membrane, which indicated a loss of membrane integrity. Overall, both species were tolerant of the extreme conditions, although Umbilicaria decussata was the more tolerant.</t>
  </si>
  <si>
    <t>AUSTRALIAN ANTARCTIC DIV,KINGSTON,TAS 7050,AUSTRALIA</t>
  </si>
  <si>
    <t>Hovenden, M (corresponding author), UNIV TASMANIA,DEPT PLANT SCI,GPOB 252-55,HOBART,TAS 7001,AUSTRALIA.</t>
  </si>
  <si>
    <t>Hovenden, Mark/A-1323-2008</t>
  </si>
  <si>
    <t>Hovenden, Mark/0000-0001-7208-9700</t>
  </si>
  <si>
    <t>10.1046/j.1469-8137.1997.00785.x</t>
  </si>
  <si>
    <t>WOS:A1997YG09900006</t>
  </si>
  <si>
    <t>Hennion, F; Walton, DWH</t>
  </si>
  <si>
    <t>Ecology and seed morphology of endemic species from Kerguelen Phytogeographic Zone</t>
  </si>
  <si>
    <t>SATELLITE TRACKING; ALBATROSSES; DISPERSAL</t>
  </si>
  <si>
    <t>Morphological descriptions of the seeds of eight phanerogamic species are provided together with observations on the dispersal of the seeds and the habitats of parent plants. These are discussed in relation to long-distance dispersal and proposals are made for future research.</t>
  </si>
  <si>
    <t>BRITISH ANTARCTIC SURVEY,NERC,CAMBRIDGE CB3 0ET,ENGLAND; INST FRANCAIS RECH TECHNOL POLAIRES,F-29280 PLOUZANE,FRANCE</t>
  </si>
  <si>
    <t>Hennion, Francoise/P-3356-2014</t>
  </si>
  <si>
    <t>Hennion, Francoise/0000-0001-5355-5614; Walton, David/0000-0002-7103-4043</t>
  </si>
  <si>
    <t>10.1007/s003000050182</t>
  </si>
  <si>
    <t>XW987</t>
  </si>
  <si>
    <t>WOS:A1997XW98700001</t>
  </si>
  <si>
    <t>Coria, NR; Soave, GE; Montalti, D</t>
  </si>
  <si>
    <t>Diet of Cape petrel Daption capense during the post-hatching period at Laurie Island, South Orkney Islands, Antarctica</t>
  </si>
  <si>
    <t>SEABIRDS</t>
  </si>
  <si>
    <t>The diet of Cape petrel Daption capense was investigated at Laurie Island, South Orkney Islands (60 degrees 46'S, 44 degrees 42'W), Antarctica, in the period January-February 1996. Stomach contents of adults and regurgitate of chicks were sampled during the post-hatching period. The analysis showed that during the whole sampling period Antarctic krill and fish represented the predominant preys in terms of frequency of occurrence, forming nearly 35.8% and 64% by mass, respectively. The species Electrona antarctica was the most frequent fish prey. Amphipods were present in lower numbers and cephalopods were detected in the diet, but in a very small proportion. Diet composition in terms of frequency of occurrence, mass and number is compared with results of previous studies.</t>
  </si>
  <si>
    <t>MUSEO NACL CIENCIAS NAT,DEPT CIENT ZOOL VERTEBRADOS,RA-1900 LA PLATA,BUENOS AIRES,ARGENTINA</t>
  </si>
  <si>
    <t>Coria, NR (corresponding author), INST ANTARTICO ARGENTINO,DEPT BIOL,GRP AVES,CERRITO 1248,RA-1010 BUENOS AIRES,DF,ARGENTINA.</t>
  </si>
  <si>
    <t>10.1007/s003000050183</t>
  </si>
  <si>
    <t>WOS:A1997XW98700002</t>
  </si>
  <si>
    <t>Jenkin, JF</t>
  </si>
  <si>
    <t>Vegetation of the McDonald Islands, sub-Antarctic</t>
  </si>
  <si>
    <t>HEARD ISLAND; HISTORY</t>
  </si>
  <si>
    <t>The McDonald Islands (53 degrees 03'S, 72 degrees 36'E) are situated in the southern Indian Ocean, approximately 43 km west of Heard Island. These sub-Antarctic islands comprise McDonald Island itself, measuring ca. 1 x 2 km, and two much smaller rocky outcrops, Flat Island and Meyer Rock. Five species of vascular plant occur on the islands. Only four species of moss were found, no hepatics, and eight species of lichen, together with algal and fungal species. Phanerogamic vegetation, comprising grassland and cushion-carpet herbfield, covers about one-third of the main island. Elsewhere, vegetation is absent or restricted to cryptogamic species. The distribution and occurrence of vegetation are strongly influenced by salt deposition, exposure to wind, substrate stability and biotic influences, particularly the very large assemblages of sea birds. The species-depauperate McDonald Islands are unique and have suffered negligible human impact. A management plan has been prepared; its implementation will be assisted by the information in this paper. The islands' protection will be further enhanced by an affirmative final decision on the current proposal for World Heritage Listing of Heard and the McDonald Islands.</t>
  </si>
  <si>
    <t>UNIV MELBOURNE,SCH BOT,MELBOURNE,VIC 3052,AUSTRALIA; AUSTRALIAN ANTARCTIC DIV,KINGSTON,TAS 7050,AUSTRALIA</t>
  </si>
  <si>
    <t>University of Melbourne; Melbourne Bioinformatics; Australian Antarctic Division</t>
  </si>
  <si>
    <t>10.1007/s003000050187</t>
  </si>
  <si>
    <t>WOS:A1997XW98700006</t>
  </si>
  <si>
    <t>Calbet, A; Irigoien, X</t>
  </si>
  <si>
    <t>Egg and faecal pellet production rates of the marine copepod Metridia gerlachei northwest of the Antarctic Peninsula</t>
  </si>
  <si>
    <t>CALANOIDES-ACUTUS; CALANUS-PACIFICUS; ACARTIA-TONSA; WEDDELL-SEA; FOOD WEB; SIZE; SELECTIVITY; TEMPERATURE; GIESBRECHT; STRAIT</t>
  </si>
  <si>
    <t>Egg and faecal pellet production rates, and their functional response to food and temperature, were measured for the Antarctic copepod Metridia gerlachei during January 1996. The study area comprised the Gerlache and Bransfield Straits and Drake Passage. The highest rates of ''in situ'' egg and faecal pellet production were observed in Gerlache stations, coinciding with chlorophyll a concentrations approaching food saturation levels. In the Bransfield and Drake stations, with very low chlorophyll concentrations, the rates of egg production were either very low, or no eggs were produced. Egg production rates, although well correlated with ''in situ'' chlorophyll values, appeared to be independent of food concentration on a short time-scale (24-h incubations), while the production of faecal pellets was closely related to food abundance in the same experiments. In general, the rates of egg production were low, even at food saturation, with a very high individual variability. Although in the majority of Gerlache stations about 50% of total chlorophyll a corresponded to the phytoplankton size-fraction &gt; 10 mu m, M. gerlachei feeds preferentially on the &lt; 10-mu m fraction. Temperature had no clear effects on egg production rate but had a significant effect on pellet production rates, with maximum values at 2.5 degrees C. These features appear to agree with the reproductive strategy attributed to the species, based on a relatively low rate of egg production extended over a long reproductive period.</t>
  </si>
  <si>
    <t>CSIC,INST CIENCIAS MAR,E-08039 BARCELONA,SPAIN</t>
  </si>
  <si>
    <t>Consejo Superior de Investigaciones Cientificas (CSIC); CSIC - Centro Mediterraneo de Investigaciones Marinas y Ambientales (CMIMA); CSIC - Instituto de Ciencias del Mar (ICM)</t>
  </si>
  <si>
    <t>Irigoien, Xabier/B-8171-2009; Calbet, Albert/A-7779-2008; Irigoien, Xabier/L-7909-2014</t>
  </si>
  <si>
    <t>Calbet, Albert/0000-0003-1069-212X; Irigoien, Xabier/0000-0002-5411-6741</t>
  </si>
  <si>
    <t>10.1007/s003000050188</t>
  </si>
  <si>
    <t>WOS:A1997XW98700007</t>
  </si>
  <si>
    <t>Vuorinen, I; Hanninen, J; Bonsdorff, E; Boormann, B; Angel, MV</t>
  </si>
  <si>
    <t>Temporal and spatial variation of dominant pelagic Copepoda (Crustacea) in the Weddell Sea (Southern Ocean) 1929 to 1993</t>
  </si>
  <si>
    <t>DIEL VERTICAL MIGRATION; LIFE-CYCLE STRATEGIES; CALANUS-PROPINQUUS; ZOOPLANKTON COMMUNITY; ANTARCTIC PENINSULA; CALANOIDES-ACUTUS; ULTRAVIOLET-RADIATION; GEORGIA; SUMMER; WATERS</t>
  </si>
  <si>
    <t>The abundances of four dominant Antarctic copepod species, Metridia gerlachei, Rhincalanus gigas, Calanoides acutus and Calanus propinquus, were examined in the Southern Ocean in a combination of a literature review, analysis of museum samples and field sampling. The data were analysed for spatial and temporal variations. The data included in the analysis were from the Weddell Sea area in the summertime at periods 1929-1939 and 1989-1993. The results are discussed in the light of environmental changes and their hypothesised and observed consequences in the Southern Ocean: global temperature change, ozone deficiency and cascading trophic interactions. Combining all these hypothetical effects our null hypothesis was that there were no consistent long-term changes in the abundance of dominant pelagic Copepoda. The null hypothesis was rejected, since several taxons did show statistically significant long-term changes in abundance. The changes were not uniform however. The numbers of adults and juveniles of Calanus propinquus increased significantly between the periods studied. Adult stages of Calanoides acutus were the only taxon decreasing in abundance, in concert with the cascading trophic interactions theory. Latitudinally, only Metridia gerlachei showed a significant increase from north to south. Longitudinally, the abundances of Calanus propinquus juveniles and both adults and juveniles of Rhincalanus gigas increased from west to east. There were no significant variations between day and night samples. Interannual changes were statistically significant in juvenile stages of all the species and in adults of Calanus propinquus. We conclude that no uniform and consistent abundance changes could be observed in the pelagic Copepoda of the Weddell Sea that could be connected to major environmental changes, expected to affect the whole planktonic ecosystem of the Southern Ocean. Significant changes in some of the species studied shaw that the pelagic ecosystem is not in a steady state, but in addition to interannual changes, there also are major fluctuations extending over decades.</t>
  </si>
  <si>
    <t>UNIV TURKU, ARCHIPELAGO RES INST, FIN-20014 TURKU, FINLAND; ABO AKAD UNIV, HUSO BIOL STN, FIN-22220 EMKARBY, ALAND, FINLAND; SOUTHAMPTON OCEANOG CTR, SOUTHAMPTON SO14 3ZH, HANTS, ENGLAND</t>
  </si>
  <si>
    <t>University of Turku; Abo Akademi University; NERC National Oceanography Centre; University of Southampton</t>
  </si>
  <si>
    <t>Hänninen, Jari/B-5033-2016</t>
  </si>
  <si>
    <t>Hänninen, Jari/0000-0001-8746-9570; Bonsdorff, Erik/0000-0001-5070-4880</t>
  </si>
  <si>
    <t>10.1007/s003000050189</t>
  </si>
  <si>
    <t>WOS:A1997XW98700008</t>
  </si>
  <si>
    <t>Steele, WK; Pilgrim, RLC; Palma, RL</t>
  </si>
  <si>
    <t>Occurrence of the flea Glaciopsyllus antarcticus and avian lice in central Dronning Maud Land</t>
  </si>
  <si>
    <t>BIOLOGY; CERATOPHYLLIDAE; SIPHONAPTERA</t>
  </si>
  <si>
    <t>The flea Glaciopsyllus antarcticus is endemic to the Antarctic continent, where it is known to parasitise a number of seabird species. This paper reports the occurrence of the flea and two species of lice from snow petrel (Pagodroma nivea) colonies in central Dronning Maud Land, Antarctica, and extends considerably the recorded distribution of the flea. Flea adults, pupae and larvae were recovered from 10 of 11 samples of organic material collected from snow petrel nests at Svarthamaren (71 degrees 53'S, 05 degrees 10'E) in the Muhlig-Hofmannfjella. Specimens of two philopterid lice species, Saemundssonia antarctica and Pseudonirmus charcoti, were recovered from three of these samples. Specimens of the Antarctic flea and of the louse S. antarctica were recovered from carcasses of snow petrel chicks collected both at Svarthamaren and Robertskollen (71 degrees 28'S, 03 degrees 15'W) in the northern Ahlmannryggen; the louse Pseudonirmus charcoti was recovered from Robertskollen only.</t>
  </si>
  <si>
    <t>UNIV CANTERBURY,DEPT ZOOL,CHRISTCHURCH 1,NEW ZEALAND; MUSEUM NEW ZEALAND,WELLINGTON,NEW ZEALAND; UNIV CAPE TOWN,PERCY FITZPATRICK INST AFRICAN ORNITHOL,ZA-7700 RONDEBOSCH,SOUTH AFRICA</t>
  </si>
  <si>
    <t>University of Canterbury; University of Cape Town</t>
  </si>
  <si>
    <t>10.1007/s003000050190</t>
  </si>
  <si>
    <t>WOS:A1997XW98700009</t>
  </si>
  <si>
    <t>Edouard, S; Vautard, R; Brunet, G</t>
  </si>
  <si>
    <t>On the maintenance of potential vorticity in isentropic coordinates</t>
  </si>
  <si>
    <t>QUARTERLY JOURNAL OF THE ROYAL METEOROLOGICAL SOCIETY</t>
  </si>
  <si>
    <t>climate diagnostics; conservative processes; diabatic forcing; general circulation; storm tracks; transient eddies</t>
  </si>
  <si>
    <t>WAVE CRITICAL LAYERS; WINTERTIME CIRCULATION; GENERAL-CIRCULATION; ANTARCTIC VORTEX; TRANSIENT EDDIES; STATIONARY WAVES; WEATHER REGIMES; EVOLUTION; BLOCKING; FLOWS</t>
  </si>
  <si>
    <t>We present a diagnostic study of the maintenance of the potential vorticity (PV) on isentropic surfaces, in the troposphere to the lower stratosphere, using ten years of analyses produced by the European Centre for Medium-Range Weather Forecasts. After a brief three-dimensional description of the general circulation in isentropic coordinates, we examine the budgets of the PV evolution equation. By decomposing the flow into its mean, high-frequency transient and low-frequency transient parts, we assess the role of these various scales of motion in the maintenance of the mean PV distribution. The contribution of vortical and thickness fluxes is also investigated. One interesting result is the key role of the divergent part of the transient flow along the tropopause in the midlatitudes, which creates a large PV sink region. We give here a tentative explanation. The PV maps are also used to generate a climatology of a wave activity called pseudomomentum, that indicates four centres of wave activity over the Atlantic and Pacific. The first two are located in the northern hemisphere storm tracks and the two others in the upper tropospheric subtropical areas between the 310 K and the 350 K levels.</t>
  </si>
  <si>
    <t>UNIV PARIS 06, METEOROL DYNAM LAB, F-75252 PARIS, FRANCE; RECH PREVIS NUMER, DORVAL, PQ, CANADA</t>
  </si>
  <si>
    <t>Sorbonne Universite; Environment &amp; Climate Change Canada; Meteorological Service of Canada; Recherche en Prevision Numerique (RPN)</t>
  </si>
  <si>
    <t>Vautard, Robert/ABF-9489-2020</t>
  </si>
  <si>
    <t>0035-9009</t>
  </si>
  <si>
    <t>1477-870X</t>
  </si>
  <si>
    <t>Q J ROY METEOR SOC</t>
  </si>
  <si>
    <t>Q. J. R. Meteorol. Soc.</t>
  </si>
  <si>
    <t>A</t>
  </si>
  <si>
    <t>10.1002/qj.49712354314</t>
  </si>
  <si>
    <t>YC800</t>
  </si>
  <si>
    <t>WOS:A1997YC80000013</t>
  </si>
  <si>
    <t>Lubin, D; Garrity, C; Ramseier, RO; Whritner, RH</t>
  </si>
  <si>
    <t>Total sea ice concentration retrieval from the SSM/I 85.5 GHz channels during the Arctic summer</t>
  </si>
  <si>
    <t>REMOTE SENSING OF ENVIRONMENT</t>
  </si>
  <si>
    <t>PASSIVE MICROWAVE DATA; RADIATION; IMAGERY</t>
  </si>
  <si>
    <t>During the 1994 Arctic Ocean Section, a joint voyage across the Arctic Ocean, by the U.S. Coast Guard Cutter Polar Sea and the Canadian Coast Guard Ship Louis S. St.-Laurent, telemetry from the Defense Meteorological Satellite Program (DMSP) polar orbiters was tracked by a shipboard antenna. Special Sensor Microwave Imager (SSM/I) data was used to generate maps of total sea. ice concentration, using the NASA Team algorithm with the 19 GHz and 37 GHz channels, and using a polarization-based algorithm with the 85.5 GHz channels. When compared with shipboard ice observations, the total sea ice concentration estimated from the 85.5 GHz algorithm are at least as accurate as those from the algorithm that uses only the lower SSM/I frequencies, despite the potential for greater difficulty in dealing with cloud liquid water contamination in the 85.5 GHz signal during the Arctic summer. Near the edge of the ice pack, the 85.5 GHz algorithm often provided more accurate estimates of total ice concentration when compared with surface observations, most likely because of the finer grid spacing at 85.5 GHz (12.5 km vs. 25 km for 37 GHz). However, when using the 85.5 GHz algorithm over regions of lower ice concentration, the reference polarizations in a given image must be chosen with care because over lower sea ice concentration the polarization-based algorithm is more sensitive to cloud opacity and can easily and substantially underestimate the ice concentration. The 85.5 GHz total sea ice retrievals are compared with in situ snow wetness measurements. This comparison suggests that, despite the higher atmospheric opacity at 85.5 GHz, information about sea ice surface properties that affect emissivity can be obtained from these SSM/I channels. (C) Elsevier Science Inc., 1997.</t>
  </si>
  <si>
    <t>OTTAWA RIVER INC,MICROWAVE GRP,DUNROBIN,ON,CANADA; UNIV CALIF SAN DIEGO,SCRIPPS INST OCEANOG,ARCTIC &amp; ANTARCTIC RES CTR,LA JOLLA,CA 92093</t>
  </si>
  <si>
    <t>Lubin, D (corresponding author), UNIV CALIF SAN DIEGO,SCRIPPS INST OCEANOG,CALIF SPACE INST,LA JOLLA,CA 92093, USA.</t>
  </si>
  <si>
    <t>655 AVENUE OF THE AMERICAS, NEW YORK, NY 10010</t>
  </si>
  <si>
    <t>0034-4257</t>
  </si>
  <si>
    <t>REMOTE SENS ENVIRON</t>
  </si>
  <si>
    <t>Remote Sens. Environ.</t>
  </si>
  <si>
    <t>10.1016/S0034-4257(97)00081-3</t>
  </si>
  <si>
    <t>Environmental Sciences; Remote Sensing; Imaging Science &amp; Photographic Technology</t>
  </si>
  <si>
    <t>Environmental Sciences &amp; Ecology; Remote Sensing; Imaging Science &amp; Photographic Technology</t>
  </si>
  <si>
    <t>XV029</t>
  </si>
  <si>
    <t>WOS:A1997XV02900006</t>
  </si>
  <si>
    <t>Reale, D</t>
  </si>
  <si>
    <t>Trophic resources and reproduction in mammals and birds</t>
  </si>
  <si>
    <t>REVUE D ECOLOGIE-LA TERRE ET LA VIE</t>
  </si>
  <si>
    <t>PARENT-OFFSPRING CONFLICT; SEX-RATIO VARIATION; MOOSE ALCES-ALCES; MOUNTAIN-BIGHORN SHEEP; NORTHERN ELEPHANT SEAL; BARREN-GROUND CARIBOU; LIFE-HISTORY TACTICS; DEER CERVUS-ELAPHUS; ANTARCTIC FUR SEALS; WHITE-TAILED DEER</t>
  </si>
  <si>
    <t>Problems raised by relationships between food resources and reproduction in mammals and birds are various and imply many theoretical and empirical aspects of biological fields such as physiology, ecology, ethology, population biology and genetics, The study of these relationships reveals ecological or evolutionary consequences of spatial and temporal variation in abundance and quality of trophic resources on reproduction. This paper first reviews and clarifies the main concepts of life history theory and sociobiology/behavioural ecology, generally used in that literature, followed by several recommandations upon their use, Afterwards, several currently developed aspects of birds and mammals reproduction in function of food resources availability are reviewed. Reproductive capacities and fecundity, adjustment in the number of young before or after birth or hatching, sex-ratio adjustment in the progeny and sex-biased investment,parental care, parental expenditure, parental investment and parent-offspring conflict in function of availability in food resources are analysed in details. The consequences of lowering trophic resources on some aspects of the offspring's ontogeny are also developed.</t>
  </si>
  <si>
    <t>Univ Rennes 1, Museum Natl Hist Nat, UMR 6553, Lab Evolut Syst Nat &amp; Modifies, 36 Rue Geoffroy St Hilaire, F-75005 Paris, France</t>
  </si>
  <si>
    <t>Museum National d'Histoire Naturelle (MNHN); Universite de Rennes; Centre National de la Recherche Scientifique (CNRS); CNRS - Institute of Ecology &amp; Environment (INEE)</t>
  </si>
  <si>
    <t>Reale, D (corresponding author), Univ Rennes 1, Museum Natl Hist Nat, UMR 6553, Lab Evolut Syst Nat &amp; Modifies, 36 Rue Geoffroy St Hilaire, F-75005 Paris, France.</t>
  </si>
  <si>
    <t>esnm2@mnhn.fr</t>
  </si>
  <si>
    <t>REALE, Denis/AAG-1571-2020</t>
  </si>
  <si>
    <t>REALE, Denis/0000-0002-0419-7125</t>
  </si>
  <si>
    <t>SOC NATL PROTECTION NATURE ACCLIMATATION FRANCE</t>
  </si>
  <si>
    <t>PARIS 5</t>
  </si>
  <si>
    <t>57 RUE CUVIER, 75005 PARIS 5, FRANCE</t>
  </si>
  <si>
    <t>0249-7395</t>
  </si>
  <si>
    <t>REV ECOL-TERRE VIE</t>
  </si>
  <si>
    <t>Rev. Ecol.-Terre Vie</t>
  </si>
  <si>
    <t>YR814</t>
  </si>
  <si>
    <t>WOS:000071532900005</t>
  </si>
  <si>
    <t>Lilley, R</t>
  </si>
  <si>
    <t>Antarctic freeze signals start of drill program</t>
  </si>
  <si>
    <t>SEARCH</t>
  </si>
  <si>
    <t>CONTROL PUBL PTY LTD</t>
  </si>
  <si>
    <t>DONCASTER</t>
  </si>
  <si>
    <t>14 ARCHERON ST, DONCASTER VIC 3108, AUSTRALIA</t>
  </si>
  <si>
    <t>0004-9549</t>
  </si>
  <si>
    <t>Search</t>
  </si>
  <si>
    <t>YC331</t>
  </si>
  <si>
    <t>WOS:A1997YC33100019</t>
  </si>
  <si>
    <t>Scarrow, JH; Vaughan, APM; Leat, PT</t>
  </si>
  <si>
    <t>Ridge-trench collision-induced switching of arc tectonics and magma sources: clues from Antarctic Peninsula mafic dykes</t>
  </si>
  <si>
    <t>TERRA NOVA</t>
  </si>
  <si>
    <t>BAJA-CALIFORNIA; SUBDUCTION; PACIFIC; MEXICO; PLATE; DEFORMATION; EMPLACEMENT; EVOLUTION; ALKALINE; HISTORY</t>
  </si>
  <si>
    <t>Compositions and distributions of mafic dykes in the Antarctic Peninsula continental are show that tapping of several mantle sources was tectonically controlled. In the Cretaceous to Tertiary, between 135 Ma and 55 Ma, calc-alkaline dykes intruded the are. In the Late Cretaceous, however, between 95 Ma and 65 Ma, there was a pulse of compositionally diverse magmatism. This change resulted from collision of an ocean spreading centre with the trench. As a consequence, non-partitioned dextral transtensional shear in the overriding plate became partitioned into strike-slip and extensional domains. Calc-alkaline magmatism was, therefore, replaced by strike-slip-related shoshonitic magmatism towards the rear-are and extension-related tholeiitic magmatism towards the fore-are. GIB-like dykes were emplaced because of the break in otherwise continuous subduction. During the early Tertiary subduction continued but ceased after a late Tertiary ridge-trench collision.</t>
  </si>
  <si>
    <t>Scarrow, JH (corresponding author), Univ Udine, Dept GEOTER, Via Cotonificio 114, I-33100 Udine, Italy.</t>
  </si>
  <si>
    <t>Vaughan, Alan PM/B-7829-2010; Scarrow, Jane Hannah/J-9237-2017</t>
  </si>
  <si>
    <t>Scarrow, Jane Hannah/0000-0001-8585-8679</t>
  </si>
  <si>
    <t>0954-4879</t>
  </si>
  <si>
    <t>Terr. Nova</t>
  </si>
  <si>
    <t>10.1111/j.1365-3121.1997.tb00024.x</t>
  </si>
  <si>
    <t>109TQ</t>
  </si>
  <si>
    <t>WOS:000075339800013</t>
  </si>
  <si>
    <t>A first-rate tragedy - Captain Scott's Antarctic expeditions - Preston,D</t>
  </si>
  <si>
    <t>TLS-THE TIMES LITERARY SUPPLEMENT</t>
  </si>
  <si>
    <t>TIMES NEWSPAPERS LTD</t>
  </si>
  <si>
    <t>PO BOX 479 VIRGINIA ST, LONDON, ENGLAND E1 9XU</t>
  </si>
  <si>
    <t>0307-661X</t>
  </si>
  <si>
    <t>TLS-TIMES LIT SUPPL</t>
  </si>
  <si>
    <t>TLS-Times Lit. Suppl.</t>
  </si>
  <si>
    <t>SEP 26</t>
  </si>
  <si>
    <t>XY652</t>
  </si>
  <si>
    <t>WOS:A1997XY65200048</t>
  </si>
  <si>
    <t>Yolcubal, I; Sack, RO; Wang, MS; Lipschutz, ME</t>
  </si>
  <si>
    <t>Formation conditions of igneous regions in ordinary chondrites: Chico, Rose City, and other heavily shocked H and L chondrites</t>
  </si>
  <si>
    <t>JOURNAL OF GEOPHYSICAL RESEARCH-PLANETS</t>
  </si>
  <si>
    <t>MOBILE TRACE-ELEMENTS; MULTICOMPONENT PYROXENES; CARBONACEOUS CHONDRITE; ANTARCTIC SAMPLES; METEORITE; METAMORPHISM; CLASSIFICATION; THERMODYNAMICS; TEMPERATURES; EQUILIBRIA</t>
  </si>
  <si>
    <t>We report microprobe and radiochemical neutron activation analysis (RNAA) data for hosts and igneous inclusions in the heavily shocked ordinary chondrites Rose City (H5), Yanzhuang (H6), Farmington (L5), Malakal (L5), Chantonnay (L6), Chico (L6), and Tuan Tuc (L6). Based on these analytical results, equilibrium crystallization calculations [Ghiorso and Sack, 1995], phase equilibrium analysis [e.g., Sack and Ghiorso, 1994a,b; Sack et al., 1994], and experimental cooling rate studies [e.g., Walker et al., 1976], we have assessed the metamorphic and magmatic histories of these seven heavily shocked chondrites. We infer that (1) unfractionated chondritic liquids were intruded to depths &gt;0.1 km in the parent asteroid of Rose City; (2) early chondritic liquids experiencing 5-10% olivine fractionation were erupted onto the surface of the parent asteroid(s) of Yanzhuang and Chantonnay; and (3) near-surface crystallization is also indicated for the liquids in Tuan Tuc and Farmington, with Chico and Malakal crystallizing at slightly greater depths. In all but Chantonnay, liquids appear to have derived from melting of chondrite types corresponding to their hosts, In the L chondrite Chantonnay, the intrusive liquids derive from melting an H chondrite source region in which chondritic melts were stored for a sufficient time to produce pigeonite in zoned pyroxene xenocrysts. Heating effects are also reflected in the trace element contents of the chondrites. Our RNAA data for Rose City seem to reflect only the siderophile-lithophile fractionation evident in the metal distribution. The Yanzhuang RNAA data are generally similar to those of other H chondrites: severe shock not involving phase transport seems to leave H chondrites unaffected compositionally. Contents of the four most mobile elements (Cd, Bi, Tl, In) and Cs in Chico indicate loss, so that this assemblage experienced extended, low-temperature cooling after injection of dike material into the Chico host. RNAA data for the other four L chondrites examined indicate more rapid cooling.</t>
  </si>
  <si>
    <t>PURDUE UNIV, DEPT CHEM, W LAFAYETTE, IN 47907 USA</t>
  </si>
  <si>
    <t>Purdue University System; Purdue University</t>
  </si>
  <si>
    <t>PURDUE UNIV, DEPT EARTH &amp; ATMOSPHER SCI, W LAFAYETTE, IN 47907 USA.</t>
  </si>
  <si>
    <t>yolcubal, irfan/F-5197-2018; Sack, Richard I/A-8369-2009; yolcubal, irfan/K-7190-2012</t>
  </si>
  <si>
    <t>yolcubal, irfan/0000-0003-0207-628X</t>
  </si>
  <si>
    <t>2169-9097</t>
  </si>
  <si>
    <t>2169-9100</t>
  </si>
  <si>
    <t>J GEOPHYS RES-PLANET</t>
  </si>
  <si>
    <t>J. Geophys. Res.-Planets</t>
  </si>
  <si>
    <t>SEP 25</t>
  </si>
  <si>
    <t>E9</t>
  </si>
  <si>
    <t>10.1029/97JE01873</t>
  </si>
  <si>
    <t>XY748</t>
  </si>
  <si>
    <t>WOS:A1997XY74800003</t>
  </si>
  <si>
    <t>Mickley, LJ; Abbatt, JPD; Frederick, JE; Russell, JM</t>
  </si>
  <si>
    <t>Evolution of chlorine and nitrogen species in the lower stratosphere during Antarctic spring: Use of tracers to determine chemical change</t>
  </si>
  <si>
    <t>HALOGEN OCCULTATION EXPERIMENT; LATE WINTER; OZONE LOSS; CLO; DEHYDRATION; MODEL; PHOTOLYSIS; CHEMISTRY; TRANSPORT; DEPLETION</t>
  </si>
  <si>
    <t>Observations of O-3, HCl, NO, and NO2 from the Halogen Occultation Experiment (HALOE) provide a means to investigate chemical change in the lower stratosphere over Antarctica during the first 23 days of October 1992. Two long-lived species also observed by HALOE, HF and CH4, are used as tracers to identify a series of air parcels having similar Cl-y and NOy abundances. The set of parcels chosen using tracer analysis show uniformly low O-3 mixing ratios, less than 1 ppm on the 480 K surface (about 18-20 km). HCl mixing ratios for those parcels with less than 1 ppm of ozone nearly tripled during the time period, and NO + NO2 abundances rose sharply, by a factor of 6 dr 7. These trends in HCl, NO, and NO2 agree qualitatively with model calculations which show that the formation of HCl proceeds quickly when O-3 levels fall so low that (1) the rate of the reaction Cl + O-3 --&gt; ClO + O-2 slows and (2) the rate of the reaction NO + ClO --&gt; NO2 + Cl becomes faster than the rate of the competing reaction NO + O-3 --&gt; NO2 + O-2. Under these conditions, Cl increases at the expense of ClO, and HCl is formed via the reaction Cl + CH4 --&gt; HCl + CH3. Stratospheric chlorine is thus shifted from reactive species to the long-lived, reservoir molecule HCl. The repartitioning of the active chlorine family in favor of HCl halts the processes that destroy ozone and makes available active nitrogen in the form of NO and NO2. The investigation confirms earlier results and validates tracer analysis as a reliable method to probe chemical change in the stratosphere.</t>
  </si>
  <si>
    <t>UNIV CHICAGO, DEPT GEOPHYS SCI, CHICAGO, IL 60637 USA; NASA, LANGLEY RES CTR, DIV ATMOSPHER SCI, HAMPTON, VA 23665 USA</t>
  </si>
  <si>
    <t>University of Chicago; National Aeronautics &amp; Space Administration (NASA); NASA Langley Research Center</t>
  </si>
  <si>
    <t>Mickley, Loretta J/D-2021-2012</t>
  </si>
  <si>
    <t>Abbatt, Jonathan/0000-0002-3372-334X</t>
  </si>
  <si>
    <t>SEP 20</t>
  </si>
  <si>
    <t>D17</t>
  </si>
  <si>
    <t>10.1029/97JD00422</t>
  </si>
  <si>
    <t>XX380</t>
  </si>
  <si>
    <t>WOS:A1997XX38000022</t>
  </si>
  <si>
    <t>Rina, M; Caufrier, F; Markaki, M; Mavromatis, K; Kokkinidis, M; Bouriotis, V</t>
  </si>
  <si>
    <t>Cloning and characterization of the gene encoding PspPI methyltransferase from the Antarctic psychrotroph Psychrobacter sp. strain TA137. Predicted interactions with DNA and organization of the variable region</t>
  </si>
  <si>
    <t>GENE</t>
  </si>
  <si>
    <t>recombinant DNA; m(5)C-methyltransferase; nucleotide sequence; motif analysis</t>
  </si>
  <si>
    <t>RESTRICTION-MODIFICATION SYSTEM; TARGET-RECOGNIZING DOMAINS; HERPETOSIPHON-GIGANTEUS; SEQUENCE-ANALYSIS; METHYLASE GENE; RECOGNITION; DNA-(CYTOSINE-C5)-METHYLTRANSFERASES; ENDONUCLEASES; BASE</t>
  </si>
  <si>
    <t>The gene (pspPIM) encoding the PspPI DNA methyltransferase (MTase) associated with the PspPI restriction-modification (R-M) system (5'-GGNCC-3') of Psychrobacter species TA137 has been cloned and expressed in E. coli, and its nucleotide (nt) sequence has been determined. The coding region was 1248 nt in length and capable of specifying a 46 826-Da protein of 416 amino acids (aa). The predicted sequence of the MTase protein displays ten sequence motifs characteristic of all prokaryotic m(5)C-MTases and shows the highest similarity to other MTases that methylate the GGNCC sequence, namely M.Eco47II and M.Sau96I. All three MTases methylate the internal cytosine within their recognition sequence. Sequence similarities between M.PspPI and its isospecific M.Eco47II and M.Sau96I as well as with four other m(5)C-MTases that methylate the related GGWCC sequence, namely M.SinI, M.HgiCII, M.HgiBI, M.HgiEI have been also found within the variable region of these proteins. On the basis of structural information from M.HhaI and M.HaeIII, several M.PspPI residues that are expected to interact with DNA can be predicted. Furthermore, an organization of the variable region of m(5)C-MTases into two segments exhibiting a pattern of conserved residues and a considerable degree of structural homologies is described. (C) 1997 Elsevier Science B.V.</t>
  </si>
  <si>
    <t>INST MOL BIOL &amp; BIOTECHNOL, ENZYME TECHNOL DIV, IRAKLION 71110, CRETE, GREECE; UNIV CRETE, DEPT BIOL, DIV APPL BIOL &amp; BIOTECHNOL, IRAKLION 71110, CRETE, GREECE</t>
  </si>
  <si>
    <t>University of Crete</t>
  </si>
  <si>
    <t>ELSEVIER</t>
  </si>
  <si>
    <t>RADARWEG 29, 1043 NX AMSTERDAM, NETHERLANDS</t>
  </si>
  <si>
    <t>0378-1119</t>
  </si>
  <si>
    <t>1879-0038</t>
  </si>
  <si>
    <t>Gene</t>
  </si>
  <si>
    <t>SEP 15</t>
  </si>
  <si>
    <t>10.1016/S0378-1119(97)00283-7</t>
  </si>
  <si>
    <t>Genetics &amp; Heredity</t>
  </si>
  <si>
    <t>XX866</t>
  </si>
  <si>
    <t>WOS:A1997XX86600042</t>
  </si>
  <si>
    <t>Zou, H; Gao, YQ</t>
  </si>
  <si>
    <t>Long-term variation in TOMS ozone over 60-70 degrees S</t>
  </si>
  <si>
    <t>QUASI-BIENNIAL OSCILLATION; NINO-SOUTHERN OSCILLATION; MAPPING SPECTROMETER; STRATOSPHERIC OZONE; CIRCULATION; TRENDS</t>
  </si>
  <si>
    <t>This article discusses the long-term variations, seasonal cycle, trends, Quasi-biennial Oscillation (:QBO) and El Nino-Southern Oscillation (ENSO), in total ozone over 60-70 degrees S latitude zone, using data from the Total Ozone Mapping Spectrometer (TOMS) on Nimbus 7 (version 7). The study is focused on the zonal distribution of the above long-term variations in this latitude zone. Recognizably different characteristics are revealed in the ozone variations over the West Antarctic from those over the East Antarctic. The discussion of these differences notes the possible impact of the land-sea contrast in the West Antarctic on the ozone variations.</t>
  </si>
  <si>
    <t>Zou, H (corresponding author), CHINESE ACAD SCI,INST ATMOSPHER PHYS,BEIJING 100029,PEOPLES R CHINA.</t>
  </si>
  <si>
    <t>gao, yongqi/N-9347-2014</t>
  </si>
  <si>
    <t>10.1029/97GL02311</t>
  </si>
  <si>
    <t>XW963</t>
  </si>
  <si>
    <t>WOS:A1997XW96300009</t>
  </si>
  <si>
    <t>Stern, ME</t>
  </si>
  <si>
    <t>Splitting of a free jet flowing over a saddle sill</t>
  </si>
  <si>
    <t>If a steady jet with two free streamlines ascends a sill while entirely remaining on one sloping side, then the rising motions must be compensated by transverse sinking motions in order that the cross-stream integral of relative vorticity vanishes at all downstream sections. The maximum sill height which allows such a flow is computed assuming slow downstream changes in a quasi-geostrophic barotropic model; a 1 1/2 layer baroclinic model is also considered. If the critical sill height is exceeded, it is suggested that the jet will split with only part of it crossing the sill on the original side. This might explain why the Antarctic Circumpolar Current bifurcates at the Falkland Plateau, where one branch forms the Malvinas Current and the other branch turns eastward across the Atlantic. The theory is related to previous laboratory observations in which bifurcation occurs.</t>
  </si>
  <si>
    <t>Stern, ME (corresponding author), FLORIDA STATE UNIV, DEPT OCEANOG, TALLAHASSEE, FL 32306 USA.</t>
  </si>
  <si>
    <t>C9</t>
  </si>
  <si>
    <t>10.1029/97JC01582</t>
  </si>
  <si>
    <t>XX061</t>
  </si>
  <si>
    <t>WOS:A1997XX06100005</t>
  </si>
  <si>
    <t>Boebel, O; Schmid, C; Zenk, W</t>
  </si>
  <si>
    <t>Flow and recirculation of Antarctic Intermediate Water across the Rio Grande Rise</t>
  </si>
  <si>
    <t>SOUTHWESTERN ATLANTIC OCEAN; SOUTH-ATLANTIC; BRAZIL CURRENT; CIRCULATION; THERMOCLINE; MODEL; EXCHANGE; FLOATS</t>
  </si>
  <si>
    <t>The flow of the low-salinity Antarctic Intermediate Water (AAIW) at 700-1150 m depth across the Rio Grande Rise and the lower Santos Plateau is studied under the auspices of the World Ocean Circulation Experiment (WOCE) in the context of the Deep Basin Experiment. Our data set consists of several hydrographic sections, a collection of 15 RAFOS float trajectories, and records from 14 moored current meters. The data were gathered during different intervals between 1990 and 1994. The inferred flow field strongly supports a basinwide anticyclonic recirculation cell in the subtropical South Atlantic underneath the wind-driven gyre. Its center, which appears to be southeast of the Rio Grande Rise, separates the eastward advection of AAIW below the South Atlantic Current from the westward flowing, recirculating AAIW. The two near-shelf limbs closing the circumference of AAIW flow are formed in the east by the deep Benguela Current, potentially modulated by salty inflow of Indian Ocean Intermediate Water, and in the west by the Brazil Current system. Further important circulation elements are the Brazil-Falkland (Malvinas) Confluence Zone at 40 degrees S and an unnamed divergence at 28 degrees S close to the 1000 m isobath. The resulting broad southward flow of AAIW augments the share of modified, i.e., saltier, intermediate water in the source region of the South Atlantic Current, while the smaller northward flow marks the source of a narrow equatorward Western Intermediate Boundary Current, ultimately leaving the South Atlantic, This shelf-trapped jet is clearly documented in hydrographic data from 19 degrees S and in nearby current meter records. The jet contrasts a sluggish flow across this latitude east of 35 degrees W. A continuous flow of AAIW from its subpolar region in the southwestern Argentine Basin all along the western slope toward the equator appears unlikely between 35 degrees S and 25 degrees S.</t>
  </si>
  <si>
    <t>CHRISTIAN ALBRECHTS UNIV KIEL, INST MEERESKUNDE, D-24105 KIEL, GERMANY</t>
  </si>
  <si>
    <t>Schmid, Claudia/D-5875-2013</t>
  </si>
  <si>
    <t>10.1029/97JC00977</t>
  </si>
  <si>
    <t>WOS:A1997XX06100006</t>
  </si>
  <si>
    <t>Stammer, D</t>
  </si>
  <si>
    <t>Steric and wind-induced changes in TOPEX/POSEIDON large-scale sea surface topography observations</t>
  </si>
  <si>
    <t>TROPICAL NORTH PACIFIC; ANTARCTIC CIRCUMPOLAR CURRENT; DRIVEN CURRENT FLUCTUATIONS; DEEP OCEAN CURRENTS; ANNUAL ROSSBY WAVES; EQUATORIAL COUNTERCURRENT; CIRCULATION MODEL; SVERDRUP BALANCE; FLORIDA STRAITS; HEAT-STORAGE</t>
  </si>
  <si>
    <t>Three years of TOPEX/POSEIDON altimeter data are analyzed with respect to large-scale fluctuations in sea surface height observations and underlying physical processes. In midlatitudes the most conspicuous feature in the large-scale changes in sea surface height are related to surface buoyancy fluxes, predominantly surface heat fluxes. The next prominent variability on subannual timescales is the adjustment of the ocean to varying winds stress fields in terms of planetary waves. The degree to which basin-scale sea surface height variations relative to the steric component can be described as a time-dependent Sverdrup balance is addressed for the Pacific Ocean. If a flat bottom ocean is assumed, a significant correlation of meridional mass transport variations inferred from TOPEX/POSEIDON and a simple Sverdrup model can be found in the Pacific Ocean north of 40 degrees N, but it fails elsewhere. Numerical ocean general circulation models show a good agreement with the TOPEX/POSEIDON observations in all those components of ocean variability and allow further insight into the dynamics that govern observed sea, surface height changes.</t>
  </si>
  <si>
    <t>Stammer, D (corresponding author), MIT,DEPT EARTH ATMOSPHER &amp; PLANETARY SCI,MS 54-1518,CAMBRIDGE,MA 02139, USA.</t>
  </si>
  <si>
    <t>10.1029/97JC01475</t>
  </si>
  <si>
    <t>WOS:A1997XX06100007</t>
  </si>
  <si>
    <t>Shindell, DT; Wong, S; Rind, D</t>
  </si>
  <si>
    <t>Interannual variability of the Antarctic ozone hole in a GCM .1. The influence of tropospheric wave variability</t>
  </si>
  <si>
    <t>JOURNAL OF THE ATMOSPHERIC SCIENCES</t>
  </si>
  <si>
    <t>MIDDLE ATMOSPHERE MODEL; PLANETARY-WAVES; CIRCULATION; STRATOSPHERE; DEPLETION</t>
  </si>
  <si>
    <t>To study the interannual variability of the Antarctic ozone hole, a physically realistic parameterization of the chemistry responsible for severe polar ozone loss has been included in the GISS GCM. The ensuing ozone hole agrees well with observations, as do modeled surface UV increases of up to 42%. The presence of the ozone hole causes a reduction in lower stratospheric solar heating and an increase in upper stratospheric descent and dynamical heating in the model, as expected. Both the degree of ozone depletion and the dynamical response exhibit large interannual variability, however. These variations are driven by differences in the midwinter buildup of tropospheric wave energy in the model, which affect the dynamics globally for several months according to the mechanism detailed herein. Starting by July, strong tropospheric wave activity lends to greater energy reaching the lower stratosphere, and therefore warmer temperatures, than in years with weak wave activity. The warmer temperatures persist throughout the austral spring, resulting in ozone losses that are only similar to 80% of those seen in the years with weaker wave activity. Significant differences also occur in the zonal Hind field, setting up conditions that ultimately affect the propagation of wave energy in the spring. Differences in the propagation of wave energy lead to an October increase in upper stratospheric dynamical heating that is more than three times larger in the years with weak wave activity than in years with strong wave activity. Modeled interannual variations in both upper stratospheric temperatures and ozone loss are of similar magnitude to observations, though the largest observed variations exceed those seen here, indicating that unforced variability likely plays a significant role in addition to periodic forcings such as the QBO. The results are in accord with observational studies showing a strong anticorrelation between the interannual variability of tropospheric wave forcing and of the Antarctic ozone hole, suggesting that midwinter tropospheric wave energy may be the best predictor of the severity of the ozone hole the following spring.</t>
  </si>
  <si>
    <t>COLUMBIA UNIV,CTR CLIMATE SYST RES,NEW YORK,NY</t>
  </si>
  <si>
    <t>Shindell, DT (corresponding author), NASA,GODDARD INST SPACE STUDIES,2880 BROADWAY,NEW YORK,NY 10025, USA.</t>
  </si>
  <si>
    <t>Shindell, Drew/D-4636-2012</t>
  </si>
  <si>
    <t>Shindell, Drew/0000-0003-1552-4715</t>
  </si>
  <si>
    <t>0022-4928</t>
  </si>
  <si>
    <t>J ATMOS SCI</t>
  </si>
  <si>
    <t>J. Atmos. Sci.</t>
  </si>
  <si>
    <t>10.1175/1520-0469(1997)054&lt;2308:IVOTAO&gt;2.0.CO;2</t>
  </si>
  <si>
    <t>XW339</t>
  </si>
  <si>
    <t>WOS:A1997XW33900005</t>
  </si>
  <si>
    <t>Zhang, JS; Miau, TT; Lee, YT</t>
  </si>
  <si>
    <t>Crossed molecular beam study of the reaction Br+O-3</t>
  </si>
  <si>
    <t>ANTARCTIC OZONE; ATMOSPHERIC CHEMISTRY; PHOTOCHEMICAL DATA; KINETICS; MECHANISM; O-3; CHLORINE; RADICALS; BROMINE; SYSTEM</t>
  </si>
  <si>
    <t>The reaction of ground-state Br(P-2(3/2)) atom with ozone molecule has been studied by the crossed molecular beams technique at five different center-of-mass (CM) collision energies ranging from 5 to 26 kcal/mol. Product CM translational energy distribution and angular distribution have been derived from experimental data. The average product translational energy ranges from 30 to 60% of the total available energy, BrO product is forward and sideways scattered with respect to the Pr atom in the CM frame, With the increase of collision energy, the fraction of the total energy channeled into products' translation is increased, and the BrO product is scattered to a more forward direction. The product translational energy release depends strongly on the CM scattering angles, with the translational energy in the forward direction larger than that in the backward direction. The Br + O-3 reaction is a direct reaction, and the Pr atom most likely attacks a terminal oxygen atom of the ozone molecule. Detailed comparison of the experimental results for the Cl + O-3 and Pr + O-3 reactions shows that these two reactions have very similar mechanisms. Ozone electronic structure plays a central role in determining the reaction mechanisms.</t>
  </si>
  <si>
    <t>UNIV CALIF RIVERSIDE,LAWRENCE BERKELEY LAB,DIV CHEM SCI,RIVERSIDE,CA 92521</t>
  </si>
  <si>
    <t>United States Department of Energy (DOE); Lawrence Berkeley National Laboratory; University of California System; University of California Riverside</t>
  </si>
  <si>
    <t>Zhang, JS (corresponding author), UNIV CALIF RIVERSIDE,DEPT CHEM,RIVERSIDE,CA 92521, USA.</t>
  </si>
  <si>
    <t>Lee, Yuan-Tseh/F-7914-2012</t>
  </si>
  <si>
    <t>SEP 11</t>
  </si>
  <si>
    <t>10.1021/jp970860a</t>
  </si>
  <si>
    <t>XW315</t>
  </si>
  <si>
    <t>WOS:A1997XW31500017</t>
  </si>
  <si>
    <t>Stromberg, JO</t>
  </si>
  <si>
    <t>Human influence or natural perturbation in oceanic and coastal waters can we distinguish between them?</t>
  </si>
  <si>
    <t>Asia-Pacific Conference on Science and Management of Coastal Environment</t>
  </si>
  <si>
    <t>JUN 25-28, 1996</t>
  </si>
  <si>
    <t>HONG KONG UNIV SCI &amp; TECHNOL, HONG KONG, HONG KONG</t>
  </si>
  <si>
    <t>HONG KONG UNIV SCI &amp; TECHNOL</t>
  </si>
  <si>
    <t>marine biosphere; natural perturbation; human influence</t>
  </si>
  <si>
    <t>LONG-TERM TRENDS; SKAGERRAK-KATTEGAT; ZOOPLANKTON COMMUNITY; SARGASSUM-MUTICUM; FAUNAL CHANGES; LARGE-SCALE; CLIMATE; SWEDEN; ENVIRONMENT; POPULATION</t>
  </si>
  <si>
    <t>The review brings up several case studies on what is perceived as natural perturbations and/or human impacts on the marine biosphere. Case studies include polar seas, the green house effect, introduction of new species, pollution in Antarctic waters, pelagic fish stock fluctuations in oceanic waters, and eutrophication and pollution in temperate coastal systems. In coastal waters human impact is often obvious, but climatic fluctuations also influence the systems. In the open ocean the two factors are difficult to distinguish and some large scale fish stock fluctuations still need to be understood.</t>
  </si>
  <si>
    <t>Stromberg, JO (corresponding author), ROYAL SWEDISH ACAD SCI,KRISTINEBERG MARINE RES STN,S-45034 FISKEBACKSKIL,SWEDEN.</t>
  </si>
  <si>
    <t>SEP 5</t>
  </si>
  <si>
    <t>10.1023/A:1003011019690</t>
  </si>
  <si>
    <t>YK763</t>
  </si>
  <si>
    <t>WOS:A1997YK76300019</t>
  </si>
  <si>
    <t>Zhang, JS; Lee, YT</t>
  </si>
  <si>
    <t>Crossed molecular beam study of the reaction Cl+O-3</t>
  </si>
  <si>
    <t>ANTARCTIC OZONE; REACTION CL+O-3-&gt;CLO+O-2; VIBRATIONAL DISTRIBUTION; ABINITIO CALCULATIONS; ENERGY-DEPENDENCE; KINETICS; CHLORINE; O-3; MECHANISM; RADICALS</t>
  </si>
  <si>
    <t>The reaction of ground-state (P-2(J)) chlorine atom with ozone molecule was studied by the crossed molecular beams technique at four different center-of-mass (CM) collision energies ranging from 6 to 32 kcal/mol. CM translational energy and angular distributions of the products were derived from experimental measurements. A significant fraction of the total available energy is channeled into the products' translation, and the ClO product is sideways and forward scattered with respect to the Cl atom. Product translational energy release depends on the CM scattering angle, with higher values at small CM angles. With the increase of collision energy, product translational energy increases, and the ClO product is scattered to a more forward direction. The reaction Cl + O-3 proceeds through a direct reaction mechanism. The Cl atom is most likely to attack the terminal oxygen atom of the ozone molecule.</t>
  </si>
  <si>
    <t>UNIV CALIF BERKELEY,LAWRENCE BERKELEY LAB,DIV CHEM SCI,BERKELEY,CA 94720; UNIV CALIF BERKELEY,DEPT CHEM,BERKELEY,CA 94720</t>
  </si>
  <si>
    <t>United States Department of Energy (DOE); Lawrence Berkeley National Laboratory; University of California System; University of California Berkeley; University of California System; University of California Berkeley</t>
  </si>
  <si>
    <t>SEP 4</t>
  </si>
  <si>
    <t>10.1021/jp970859b</t>
  </si>
  <si>
    <t>XV734</t>
  </si>
  <si>
    <t>WOS:A1997XV73400015</t>
  </si>
  <si>
    <t>Ying, LM; Zhao, XS</t>
  </si>
  <si>
    <t>Theoretical studies of XONO2-H2O (X = Cl, H) complexes</t>
  </si>
  <si>
    <t>DENSITY-FUNCTIONAL THERMOCHEMISTRY; CHLORINE NITRATE; NITRIC-ACID; ANTARCTIC STRATOSPHERE; AB-INITIO; HETEROGENEOUS REACTIONS; VIBRATIONAL-SPECTRUM; MOLECULAR-STRUCTURE; HYDROGEN-CHLORIDE; OZONE HOLE</t>
  </si>
  <si>
    <t>The equilibrium structures, harmonic vibrational frequencies and binding energies of ClONO2-H2O and HONO2-H2O complexes have been investigated with ab initio MP2 and density functional B3LYP methods. The B3LYP method performs better than MP2 methods in predicting the vibrational frequencies of both ClONO2 and HONO2. It is found that the ClONO2-H2O complex possesses a near C-s symmetry structure. The ZPE corrected binding energies determined at B3LYP/6-311++G(2df,2p) level for ClONO2-H2O and HONO2-H2O complexes are 2.2 and 7.2 kcal mol(-1), respectively. A possible surface based heterogeneous reaction mechanism of ClONO2 on water-ice surface is proposed.</t>
  </si>
  <si>
    <t>BEIJING UNIV, DEPT CHEM, BEIJING 100871, PEOPLES R CHINA</t>
  </si>
  <si>
    <t>Peking University</t>
  </si>
  <si>
    <t>Zhao, Xiu Song/F-9264-2011; Ying, Liming/G-7999-2011</t>
  </si>
  <si>
    <t>Zhao, Xiu Song/0000-0002-1276-5858;</t>
  </si>
  <si>
    <t>1520-5215</t>
  </si>
  <si>
    <t>10.1021/jp970022g</t>
  </si>
  <si>
    <t>WOS:A1997XV73400058</t>
  </si>
  <si>
    <t>Murphy, E; King, J</t>
  </si>
  <si>
    <t>Climate change - Icy message from the Antarctic</t>
  </si>
  <si>
    <t>TEMPERATURE</t>
  </si>
  <si>
    <t>BRITISH ANTARCTIC SURVEY,NERC,ICE &amp; CLIMATE DIV,CAMBRIDGE CB3 0ET,ENGLAND</t>
  </si>
  <si>
    <t>Murphy, E (corresponding author), BRITISH ANTARCTIC SURVEY,NERC,MARINE LIFE SCI DIV,MADINGLEY RD,CAMBRIDGE CB3 0ET,ENGLAND.</t>
  </si>
  <si>
    <t>10.1038/37876</t>
  </si>
  <si>
    <t>XU596</t>
  </si>
  <si>
    <t>WOS:A1997XU59600023</t>
  </si>
  <si>
    <t>delaMare, WK</t>
  </si>
  <si>
    <t>Abrupt mid-twentieth-century decline in Antarctic sea-ice extent from whaling records</t>
  </si>
  <si>
    <t>CARBON-DIOXIDE</t>
  </si>
  <si>
    <t>A decline in Antarctic sea-ice extent is a commonly predicted effect of a warming climate. Direct global estimates of the Antarctic sea-ice cover from satellite observations, only possible since the 1970s(1-4) have shown no dear trends. Comparisons(1) between satellite observations and ice-edge charts obtained from early ship records(5) suggest that sea-ice extent in the 1970s was less than during the 1930s, an indication supported by limited regional observations(6). But these observations have been regarded as inconclusive, owing to the limited spatial and temporal scope of the early records(2). A significant data source has, however, been overlooked. The southern limit of whaling was constrained by sea ice, and since 1931 whaling records have been collected for every whale caught(7), giving a circumpolar coverage from spring to autumn until 1987. Here, an analysis of these catch records indicates that, averaged over October to April, the Antarctic summer sea-ice edge has moved southwards by 2.8 degrees of latitude between the mid 1950s and early 1970s. This suggests a decline in the area covered by sea ice of some 25%. This abrupt change poses a challenge to model simulations of recent climate change, and could imply changes in Antarctic deep-water formation and in biological productivity, both important processes affecting atmospheric CO2 concentrations.</t>
  </si>
  <si>
    <t>delaMare, WK (corresponding author), AUSTRALIAN ANTARCTIC DIV,DEPT ENVIRONM SPORT &amp; TERR,CHANNEL HIGHWAY,KINGSTON,TAS 7050,AUSTRALIA.</t>
  </si>
  <si>
    <t>10.1038/37956</t>
  </si>
  <si>
    <t>WOS:A1997XU59600042</t>
  </si>
  <si>
    <t>Nicol, S; Allison, I</t>
  </si>
  <si>
    <t>The frozen skin of the southern ocean</t>
  </si>
  <si>
    <t>AMERICAN SCIENTIST</t>
  </si>
  <si>
    <t>SEA ICE; EUPHAUSIA-SUPERBA; BEHAVIOR</t>
  </si>
  <si>
    <t>UNIV TASMANIA,HOBART,TAS,AUSTRALIA; AUSTRALIAN ANTARCTIC DIV,KINGSTON,TAS 7050,AUSTRALIA</t>
  </si>
  <si>
    <t>SIGMA XI-SCI RES SOC</t>
  </si>
  <si>
    <t>RES TRIANGLE PK</t>
  </si>
  <si>
    <t>PO BOX 13975, RES TRIANGLE PK, NC 27709</t>
  </si>
  <si>
    <t>0003-0996</t>
  </si>
  <si>
    <t>AM SCI</t>
  </si>
  <si>
    <t>Am. Scientist</t>
  </si>
  <si>
    <t>SEP-OCT</t>
  </si>
  <si>
    <t>XQ275</t>
  </si>
  <si>
    <t>WOS:A1997XQ27500011</t>
  </si>
  <si>
    <t>McClintock, JB; Baker, BJ</t>
  </si>
  <si>
    <t>A review of the chemical ecology of Antarctic marine invertebrates</t>
  </si>
  <si>
    <t>AMERICAN ZOOLOGIST</t>
  </si>
  <si>
    <t>SPONGE DENDRILLA-MEMBRANOSA; PTEROPOD CLIONE ANTARCTICA; SULFATED POLYHYDROXYSTEROIDS; KIRKPATRICKIA-VARIALOSA; ENERGETIC COMPOSITION; MCMURDO SOUND; SOFT CORALS; DEFENSE; ALKALOIDS; METABOLITES</t>
  </si>
  <si>
    <t>The interdisciplinary field of marine invertebrate chemical ecology is relatively young, and particularly so in polar marine environments. In this review we present evidence that the incidence of chemical defense in antarctic benthic marine invertebrate phyla is widespread. Mechanisms of chemical defense have been detected in antarctic representatives of the Porifera, Cnidaria, Brachiopoda, Tunicata, Nemertea, Mollusca and Echinodermata. This argues against earlier biogeographic theories that predicted a low incidence of chemical defense in polar waters where levels of fish predation are low. Selection for chemical defense in benthic sessile and sluggish marine invertebrates is likely a response to an environmentally stable community shown to be structured primarily by biotic factors such as predation and competition. Holoplankton and the eggs, embryos and larvae of both benthic and planktonic antarctic macroinvertebrates may also employ chemical defense to offset mortality during characteristically slow development and long life span where susceptibility to predation is seemingly high. While most research to date has focused on the role of secondary metabolites in mediating predation, it is likely that bioactive compounds in antarctic marine invertebrates also serve roles as antifoulants and allelochemics. The diversity of bioactive metabolites detected to date in antarctic marine invertebrates sets the stage both for continuing and for broadening efforts to evaluate their functional and ecological significance.</t>
  </si>
  <si>
    <t>FLORIDA INST TECHNOL, DEPT CHEM, MELBOURNE, FL 32901 USA</t>
  </si>
  <si>
    <t>Florida Institute of Technology</t>
  </si>
  <si>
    <t>McClintock, JB (corresponding author), UNIV ALABAMA, DEPT BIOL, BIRMINGHAM, AL 35294 USA.</t>
  </si>
  <si>
    <t>SOC INTEGRATIVE COMPARATIVE BIOLOGY</t>
  </si>
  <si>
    <t>MCLEAN</t>
  </si>
  <si>
    <t>1313 DOLLEY MADISON BLVD, NO 402, MCLEAN, VA 22101 USA</t>
  </si>
  <si>
    <t>0003-1569</t>
  </si>
  <si>
    <t>AM ZOOL</t>
  </si>
  <si>
    <t>Am. Zool.</t>
  </si>
  <si>
    <t>SEP</t>
  </si>
  <si>
    <t>XZ280</t>
  </si>
  <si>
    <t>WOS:A1997XZ28000001</t>
  </si>
  <si>
    <t>Palo, SE; Hagan, ME; Meek, CE; Vincent, RA; Burrage, MD; McLandress, C; Franke, SJ; Ward, WE; Clark, RR; Hoffmann, P; Johnson, R; Kurschner, D; Manson, AH; Murphy, D; Nakamura, T; Portnyagin, YI; Salah, JE; Schminder, R; Singer, W; Tsuda, T; Virdi, TS; Zhou, Q</t>
  </si>
  <si>
    <t>An intercomparison between the GSWM, UARS, and ground based radar observations: a case-study in January 1993</t>
  </si>
  <si>
    <t>2nd Workshop on Wind Measurements in the Middle Atmosphere</t>
  </si>
  <si>
    <t>MAY 13-16, 1996</t>
  </si>
  <si>
    <t>UNIV TORONTO, TORONTO, CANADA</t>
  </si>
  <si>
    <t>UNIV TORONTO</t>
  </si>
  <si>
    <t>ATMOSPHERE RESEARCH SATELLITE; RESOLUTION DOPPLER IMAGER; LOWER THERMOSPHERE; QUASI-2-DAY WAVE; EQUATORIAL MESOSPHERE; MIDDLE ATMOSPHERE; DIURNAL TIDE; MEAN WINDS; 2-DAY WAVE; LONG-TERM</t>
  </si>
  <si>
    <t>The Global-Scale Wave Model (GSWM) is a steady-state two-dimensional linearized model capable of simulating the solar tides and planetary waves. In an effort to understand the capabilities and limitations of the GSWM throughout the upper mesosphere and thermosphere a comparative analysis with observational data is presented. A majority of the observational data used in this study was collected during the World Day campaign which ran from 20 January to 30 January 1993. During this campaign data from 18 ground-based observational sites across the globe and two instruments located on the UARS spacecraft were analyzed. Comparisons of these data with the simulations from the GSWM indicate that the GSWM results are in reasonable agreement with the observations. However, there are a number of cases where the agreement is not particularly good. One such instance is for the semidiurnal tide in the northern hemisphere, where the GSWM estimates may exceed observations by 50%. Through a number of numerical simulations, it appears that this discrepancy may be due to the eddy diffusivity profiles used by the GSWM. Other differences relating to the diurnal tide and the quasi-two-day wave are presented and discussed. Additionally, a discussion on the biases and aliasing difficulties which may arise in the observational data is also presented.</t>
  </si>
  <si>
    <t>UNIV SASKATCHEWAN, SASKATOON, SK, CANADA; UNIV ADELAIDE, ADELAIDE, SA, AUSTRALIA; UNIV MICHIGAN, ANN ARBOR, MI 48109 USA; YORK UNIV, TORONTO, ON M3J 2R7, CANADA; UNIV ILLINOIS, URBANA, IL 61801 USA; UNIV NEW HAMPSHIRE, DURHAM, NH 03824 USA; INST ATMOSPHARENPHYS, KUHLUNGSBORN, GERMANY; UNIV LEIPZIG, COLLM, GERMANY; AUSTRALIAN ANTARCTIC DIV, KINGSTON, TAS, AUSTRALIA; KYOTO UNIV, KYOTO 606, JAPAN; INST EXPT METEOROL, OBNINSK, RUSSIA; MIT, WESTFORD, MA USA; UNIV COLL WALES, ABERYSTWYTH, DYFED, WALES; NATL ASTRON &amp; IONOSPHERE CTR, ARECIBO OBSERV, ARECIBO, PR 00613 USA</t>
  </si>
  <si>
    <t>University of Saskatchewan; University of Adelaide; University of Michigan System; University of Michigan; York University - Canada; University of Illinois System; University of Illinois Urbana-Champaign; University System Of New Hampshire; University of New Hampshire; Leipzig University; Australian Antarctic Division; Kyoto University; Massachusetts Institute of Technology (MIT); Aberystwyth University; National Aeronautics &amp; Space Administration (NASA)</t>
  </si>
  <si>
    <t>Palo, SE (corresponding author), NATL CTR ATMOSPHER RES, POB 3000, BOULDER, CO 80307 USA.</t>
  </si>
  <si>
    <t>Ward, William/F-6263-2012; Vincent, Robert A/E-5450-2013; Tsuda, Toshitaka/GYJ-4925-2022; tsuda, toshitaka/A-3035-2015; Hagan, Maura/C-7200-2008</t>
  </si>
  <si>
    <t>Vincent, Robert A/0000-0001-6559-6544; Nakamura, Takuji/0000-0002-3876-2946; PALO, SCOTT/0000-0002-4729-4929; Hagan, Maura/0000-0002-8866-7429</t>
  </si>
  <si>
    <t>10.1007/s00585-997-1123-x</t>
  </si>
  <si>
    <t>YF704</t>
  </si>
  <si>
    <t>WOS:A1997YF70400005</t>
  </si>
  <si>
    <t>Wilson, C</t>
  </si>
  <si>
    <t>An earth modified by global change - But how much do we know about the evolution of our planet? Guest editorial</t>
  </si>
  <si>
    <t>Wilson, C (corresponding author), UNIV MELBOURNE,SCH EARTH SCI,PARKVILLE,VIC 3052,AUSTRALIA.</t>
  </si>
  <si>
    <t>P O BOX 88, OSNEY MEAD, OXFORD, OXON, ENGLAND OX2 0NE</t>
  </si>
  <si>
    <t>10.1017/S0954102097000308</t>
  </si>
  <si>
    <t>XV761</t>
  </si>
  <si>
    <t>WOS:A1997XV76100001</t>
  </si>
  <si>
    <t>Agnew, DJ</t>
  </si>
  <si>
    <t>The CCAMLR ecosystem monitoring programme</t>
  </si>
  <si>
    <t>Antarctic fisheries; CCAMLR; CEMP; ecosystem management; ecosystem monitoring; krill; predator-fisheries interactions</t>
  </si>
  <si>
    <t>The Convention on the Conservation of Antarctic Marine Living Resources states as part of its objective the maintenance of ecological relationships and the prevention of irreversible changes to the ecosystem. The Commission for the Conservation of Antarctic Marine Living Resources (CCAMLR) has implemented an Ecosystem Monitoring Programme (CEMP) for the Antarctic marine environment to give effect to this requirement. The design phase of the programme took three years. The programme has been fully implemented since 1987 and involves monitoring selected predator, prey and environmental indicators of ecosystem performance. The central aim of the programme is the detection of changes in these indicators and the interpretation as to whether these changes are due to natural events or the harvesting of marine living resources. The core of the programme is the acquisition, centralised storage and analysis of standardised monitoring data combined with a strong emphasis on empirical and modelling based research. This both modifies the monitoring approach in line with changing requirements and creates a sound scientific background against which to test the effects of management options on components of the Antarctic ecosystem. The development of procedures for translating monitoring results into management advice is a critical part of the programme. Management takes the form of the regulation of fishing activities. Since 1987 CEMP has collected data on six bird and seal species at 15 sites around the Antarctic. Up to 14 parameters of predator performance and 10 parameters of prey and environmental performance are collected at each site. The data sets collected by CEMP form an extremely powerful tool for understanding and managing the Antarctic marine ecosystem.</t>
  </si>
  <si>
    <t>Agnew, DJ (corresponding author), UNIV LONDON IMPERIAL COLL SCI TECHNOL &amp; MED,CTR ENVIRONM TECHNOL,LONDON SW7 1NA,ENGLAND.</t>
  </si>
  <si>
    <t>10.1017/S095410209700031X</t>
  </si>
  <si>
    <t>WOS:A1997XV76100002</t>
  </si>
  <si>
    <t>Huin, N; Prince, PA</t>
  </si>
  <si>
    <t>Diving behaviour of the grey-headed albatross</t>
  </si>
  <si>
    <t>Diomedea chrysostoma; diving; foraging behaviour; Scotia Sea; South Georgia</t>
  </si>
  <si>
    <t>WANDERING ALBATROSSES; DIOMEDEA-CHRYSOSTOMA; SATELLITE TRACKING; SOUTH-GEORGIA; PERFORMANCE; MELANOPHRIS; PENGUINS; PATTERN; ECOLOGY; EXULANS</t>
  </si>
  <si>
    <t>Foraging grey-headed albatrosses spent 86% of the night but only 20% of the day sitting on the seal most diving activity occurred during daylight. During;he brood-guard period of nesting, peaks of diving activity occurred at midday and dusk. During the subsequent chick-rearing period, however, diving was mainly al dawn and dusk. Of 485 dives measured, the depth averaged 0.74 m, with maximum depth at 6.5 m. On average grey-headed albatrosses dived 24 times during a five day foraging trip. Dive depths increased towards midday, probably as a function of the birds' visual acuity rather than due to vertical migration of their prey. We estimate that grey-headed albatross es may obtain 30-45% of their daily food requirements by diving.</t>
  </si>
  <si>
    <t>Huin, N (corresponding author), BRITISH ANTARCTIC SURVEY,NERC,HIGH CROSS,MADINGLEY RD,CAMBRIDGE CB3 0ET,ENGLAND.</t>
  </si>
  <si>
    <t>10.1017/S0954102097000321</t>
  </si>
  <si>
    <t>WOS:A1997XV76100003</t>
  </si>
  <si>
    <t>Mataloni, G; Tesolin, G</t>
  </si>
  <si>
    <t>A preliminary survey of cryobiontic algal communities from Cierva Point (Antarctic Peninsula)</t>
  </si>
  <si>
    <t>algae; Antarctica; cryobiontic communities; ecology; snow</t>
  </si>
  <si>
    <t>SNOW ALGAE; CONTINENTAL ANTARCTICA; WINDMILL ISLANDS; CHLOROPHYTA; VOLVOCALES</t>
  </si>
  <si>
    <t>Algal communities colouring snow and ice were studied at fourteen sites an Cierva Point (Dance Coast, Antarctic Peninsula). Chlorophyta were the dominant group in cryobiontic communities, both in species richness and abundance. Cyanobacteria and diatoms, in turn, showed a higher species number at low altitude, well drained temporary snow fields, probably denoting a cryoxenic character. Descriptions of the six species newly recorded for Antarctica are given, and the taxonomic position of some Scotiella, Trochiscia and Koliella species is discussed. Further research is needed to assess the importance of various stress factors in the progressive drop in species richness and biosynthesis of secondary carotenoids associated with a change in snow colour from green to orange-red to pink-red.</t>
  </si>
  <si>
    <t>Mataloni, G (corresponding author), UNIV BUENOS AIRES,FAC CIENCIAS EXACTAS &amp; NAT,DEPT CIENCIAS BIOL,PAB II C,RA-1428 BUENOS AIRES,DF,ARGENTINA.</t>
  </si>
  <si>
    <t>10.1017/S0954102097000333</t>
  </si>
  <si>
    <t>WOS:A1997XV76100004</t>
  </si>
  <si>
    <t>The lipid, fatty acid and fatty alcohol composition of the myctophid fish Electrona antarctica: high level of wax esters and food-chain implications</t>
  </si>
  <si>
    <t>Electrona antarctica; fatty acids; fatty alcohols; lipids; myctophid fish; wax esters</t>
  </si>
  <si>
    <t>HOPLOSTETHUS-ATLANTICUS BERYCIFORMES; MIDWATER FISHES; TRACHICHTHYIDAE; ISLANDS; ZOOPLANKTON</t>
  </si>
  <si>
    <t>The myctophid, Electrona antarctica, was collected by trawl from the Elephant Island region of the Antarctic Peninsula, and from East Antarctica near 61 degrees S and 93 degrees W. Total lipid was higher in Elephant Island E, antarctica (whole fish, 466-585 mg g(-1) dry weight) than those from Eastern Antarctica (394-459 mg g(-1)). Wax esters comprised 86.2-90.5% of total lipid in E. antarctica flesh. There were no significant differences between Eastern Antarctica and Elephant Island in total wax ester levels, or in levels of wax esters between different tissues analysed. Oily bones (up to 326 mg g(-1) in the neurocranium) characterized E. antarctica from both locations, with wax esters as the major skeletal lipid class (67.0-87.9%, percent of lipid). The wax esters may have a buoyancy role in E. antarctica. The only substantial amount of triacylglycerols (29.4%) were found in the viscera of Elephant Island fish. The principal fatty acids of all fish analysed included the monounsaturated fatty acids 18:1(n-9) and 16:1(n-7), with lower levels of 16:0 and 14:0 saturated acids. Fatty alcohols were dominated by the saturated 16:0 and 14:0 (37.8-47.8%) and the monounsaturated 18:1(n-9) and 18:1(n-7) (38.3-59.2%). The low ratio of 22:1/20:1 alcohols observed for E. antarctica is consistent with a diet of amphipods, copepods and other items low in 22:1 alcohols.</t>
  </si>
  <si>
    <t>CSIRO,DIV MARINE RES,HOBART,TAS 7001,AUSTRALIA; ANTARCTIC CRC,HOBART,TAS 7001,AUSTRALIA</t>
  </si>
  <si>
    <t>10.1017/S0954102097000345</t>
  </si>
  <si>
    <t>WOS:A1997XV76100005</t>
  </si>
  <si>
    <t>Brey, T; Gerdes, D</t>
  </si>
  <si>
    <t>Is Antarctic benthic biomass really higher than elsewhere?</t>
  </si>
  <si>
    <t>ENERGY VALUES; INVERTEBRATES; SEA</t>
  </si>
  <si>
    <t>Brey, T (corresponding author), ALFRED WEGENER INST POLAR &amp; MARINE RES, POB 120161, D-27576 BREMERHAVEN, GERMANY.</t>
  </si>
  <si>
    <t>10.1017/S0954102097000357</t>
  </si>
  <si>
    <t>WOS:A1997XV76100006</t>
  </si>
  <si>
    <t>Johnson, AC</t>
  </si>
  <si>
    <t>Cenozoic tectonic evolution of the Marguerite Bay area, Antarctic Peninsula, interpreted from geophysical data</t>
  </si>
  <si>
    <t>aeromagnetic; bathymetry; gravity; fore-arc; extension</t>
  </si>
  <si>
    <t>ALEXANDER ISLAND; GRAHAM LAND; HISTORY; PACIFIC</t>
  </si>
  <si>
    <t>Magnetic, gravity and bathymetric data from Marguerite Bay are used to study the relationships between oceanic and continental tectonic evolution in the are and fore-are of the Antarctic Peninsula. The data are used to redefine the crustal structure of the Marguerite Bay area, providing evidence for a northward continuation of George VI Sound and the Alexander Island Mesozoic accretionary prism almost to the continental shelf edge. A two-stage model of extension, associated with changes in spreading rates and approaching ridge segments, is proposed to explain the crustal structure and Cenozoic tectonic evolution of the area. The model involves the opening of George VI trough by Tertiary dextral transtension, followed by oblique extension in an area bounded by the Tula and Adelaide fracture zones. This interpretation confirms previous work linking oceanic tectonic processes with continental are and fore-are structural development.</t>
  </si>
  <si>
    <t>Johnson, AC (corresponding author), BRITISH ANTARCTIC SURVEY,NERC,HIGH CROSS,MADINGLEY RD,CAMBRIDGE CB3 0ET,ENGLAND.</t>
  </si>
  <si>
    <t>10.1017/S0954102097000369</t>
  </si>
  <si>
    <t>WOS:A1997XV76100007</t>
  </si>
  <si>
    <t>McLoughlin, S; Lindstrom, S; Drinnan, AN</t>
  </si>
  <si>
    <t>Gondwanan floristic and sedimentological trends during the Permian-Triassic transition: new evidence from the Amery Group, northern Prince Charles Mountains, East Antarctica</t>
  </si>
  <si>
    <t>Dicroidium; extinctions; Glossopteris; Lepidopteris; palynofloras; Permian; Triassic</t>
  </si>
  <si>
    <t>PLANT MICROFOSSILS; MACROBERTSON-LAND; LAKE AREA; BASIN; AUSTRALIA; ASSEMBLAGES; MADAGASCAR; ARGENTINA; BOUNDARY; KENYA</t>
  </si>
  <si>
    <t>The Permian-Triassic boundary within the Amery Group of the Lambert Graben is placed at the contact between the Bainmedart Coal Measures and overlying Flagstone Bench Formation, based on the first regular occurrence of Lunatisporites pellucidus and the first appearance of Aratrisporites and Lepidopteris species. The Permian-Triassic boundary is marked by the extinction of glossopterid and cordaitalean gymnosperms, and by the disappearance or extreme decline of a range of gymnospermous and pteridophytic palynomorph groups. Earliest Triassic macrofloras and palynofloras of the Flagstone Bench Formation are dominated by peltasperms and lycophytes; corystosperms, conifers, and ferns become increasingly common elements of assemblages through the Lower Triassic part of the formation and dominate floras of the Upper Triassic strata. The sedimentary transition across this boundary is conformable but marked by a termination of coal deposits; overlying lowermost Triassic sediments contain only carbonaceous siltstones. Typical red-bed facies are not developed until at least 100 m above the base of the Flagstone Bench Formation, in strata containing ?Middle Triassic palynofloras. Across Gondwana the diachronous disappearance of coal deposits and appearance of red-beds is suggestive of a response to shifting climatic belts, resulting in progressively drier seasonal conditions at successively higher palaeolatitudes during the Late Permian to Middle Triassic. The abrupt and approximately synchronous replacement of plant groups at the Permian-Triassic boundary suggests that factors independent of, or additional to, climate change were responsible for the turnover in terrestrial floras.</t>
  </si>
  <si>
    <t>LUND UNIV,DIV HIST GEOL &amp; PALAEONTOL,S-22362 LUND,SWEDEN</t>
  </si>
  <si>
    <t>Lund University</t>
  </si>
  <si>
    <t>McLoughlin, S (corresponding author), UNIV MELBOURNE,SCH BOT,PARKVILLE,VIC 3052,AUSTRALIA.</t>
  </si>
  <si>
    <t>Lindström, Sofie/G-5481-2018</t>
  </si>
  <si>
    <t>Lindström, Sofie/0000-0001-8278-1055; DRINNAN, ANDREW/0000-0003-0087-1714</t>
  </si>
  <si>
    <t>10.1017/S0954102097000370</t>
  </si>
  <si>
    <t>WOS:A1997XV76100008</t>
  </si>
  <si>
    <t>Adamson, DA; Mabin, MCG; Luly, JG</t>
  </si>
  <si>
    <t>Holocene isostasy and late Cenozoic development of landforms including Beaver and Radok Lake basins in the Amery Oasis, Prince Charles Mountains, Antarctica</t>
  </si>
  <si>
    <t>Amery Oasis; Antarctica; glaciation; isostasy; Prince Charles Mountains; uplift</t>
  </si>
  <si>
    <t>MACROBERTSON-LAND; EAST ANTARCTICA; AREA</t>
  </si>
  <si>
    <t>Geomorphological observations show no detectable uplift (i.e. falling relative sea level) of Amery Oasis since the establishment of relatively stable sea level during the mid-Holocene. The observations around the basin of Beaver Lake include an absence of raised shoreline features, the presence down to the present tidal limit of in situ ventifacts and residual landforms, the cliffed southern shoreline and adjacent shallow subhorizontal floor of Beaver Lake, and the composition of recent moraines on the basin's north eastern edge. This lack of Holocene uplift is consistent with low uplift rates observed from coastal eases of East Antarctica and suggests minor, rather than major, changes to the Antarctic ice sheet during the most recent Quaternary glacial cycle. The formation of Beaver basin is attributed to late Cenozoic glacial excavation by south flowing ice of the palaeo-Nemesis Glacier, initially eroding when relative sea level was higher than it is today. The basin containing Radok Lake was excavated by the palaeo-Battye Glacier probably when most effective during the numerous long cold periods of the late Cenozoic. The field evidence from landforms and the presence of marine fossil deposits suggests Amery Oasis was not overrun by erosive ice since at least the Pliocene, major ice streams such as Lambert Glacier flowing then, as now, around the oasis.</t>
  </si>
  <si>
    <t>JAMES COOK UNIV N QUEENSLAND,DEPT TROP ENVIRONM STUDIES &amp; GEOG,TOWNSVILLE,QLD 4811,AUSTRALIA</t>
  </si>
  <si>
    <t>Adamson, DA (corresponding author), MACQUARIE UNIV,SCH BIOL SCI,SYDNEY,NSW 2109,AUSTRALIA.</t>
  </si>
  <si>
    <t>10.1017/S0954102097000382</t>
  </si>
  <si>
    <t>WOS:A1997XV76100009</t>
  </si>
  <si>
    <t>Krebs, KA; Mabin, MCG</t>
  </si>
  <si>
    <t>Distribution, activity and characteristics of the alpine-type glaciers of northern Prince Charles Mountains, East Antarctica</t>
  </si>
  <si>
    <t>accumulation; alpine-type glaciers; coastal proximity; orientation</t>
  </si>
  <si>
    <t>Alpine-type valley and cirque glaciers occur in many massifs in the northern Prince Charles Mountains. A total of forty-seven glaciers have been investigated using maps and aerial photographs, and in the summer of 1991-92 seventeen of these were examined in the field. The distribution of these glaciers and their present-day snowline line altitudes appear to be influenced by their location with respect to snow-bearing winds, particularly the summer winds that bring moisture from the open waters of Prydz Bay. Moraine morphologies indicate that these glaciers advance and retreat out-of-phase with the larger ice sheet outlet glaciers. During the last glacial maximum the alpine-type glaciers retreated while the ice sheet outlet glaciers showed a minor expansion. This is believed to be due to the alpine-type glaciers being starved of snowfall as the expanded last glacial maximum sea-ice cover around the continent would have removed their maritime moisture sources. Recent contrasts in the behaviour of the alpine glaciers may reflect changes in summer sea ice extent in Prydz Bay.</t>
  </si>
  <si>
    <t>Krebs, KA (corresponding author), CHARLES STURT UNIV,SCH ENVIRONM &amp; INFORMAT SCI,POB 789,ALBURY,NSW 2640,AUSTRALIA.</t>
  </si>
  <si>
    <t>10.1017/S0954102097000394</t>
  </si>
  <si>
    <t>WOS:A1997XV76100010</t>
  </si>
  <si>
    <t>Scrimgeour, I; Hand, M</t>
  </si>
  <si>
    <t>A metamorphic perspective on the Pan African overprint in the Amery area of Mac. Robertson Land, East Antarctica</t>
  </si>
  <si>
    <t>decompression; East Antarctica; medium-P granulites; metapelite; Pan-African; terrain reworking</t>
  </si>
  <si>
    <t>PRINCE-CHARLES-MOUNTAINS; ORTHO-PYROXENE; LARSEMANN-HILLS; PHASE-RELATIONS; QUARTZ GRANULITES; JETTY PENINSULA; PELITIC ROCKS; PRYDZ-BAY; T PATHS; GARNET</t>
  </si>
  <si>
    <t>The Amery area of Mac. Robertson Land lies between the early Palaeozoic granulite terrain of Prydz Bay and Meso-Neoproterozoic granulites in northern Prince Charles Mountains(nPCM). In contrast to the nPCM which shows an apparently simple near-isobaric history, granulites exposed in the Amery area contain reaction textures suggesting a more complex evolution. Peak-M-1 Mesoproterozoic assemblages formed at c. 700 MPa and 800 degrees C and initially underwent a near-isobaric cooling. A subsequent increase in temperature (M-2) resulted in the formation of cordierite-spinel assemblages at similar to 450 MPa and 700 degrees C in metapelite. The timing of M-2 is not firmly established, however existing data strongly suggest it is an early Palaeozoic event coeval with tectonism in Prydz Bay to the north-east. Thus the metamorphic evolution of granulites in the Amery area reflects a terrain-scale thermal interference pattern between two unrelated orogenic events. In rocks not recording post-M-1, isobaric cooling, the superposition of M-2 on M-1 assemblages resulted in the formation of M-2 cordierite-spinel symplectites at the expense of peak M-1 garnet and sillimanite. This texture, commonly interpreted to reflect near-isothermal decompression, has no relevance in terms of a single tectonothermal event in the Amery area.</t>
  </si>
  <si>
    <t>UNIV ADELAIDE,DEPT GEOL &amp; GEOPHYS,ADELAIDE,SA 5005,AUSTRALIA</t>
  </si>
  <si>
    <t>University of Adelaide</t>
  </si>
  <si>
    <t>hand, martin/0000-0003-3743-9706</t>
  </si>
  <si>
    <t>10.1017/S0954102097000400</t>
  </si>
  <si>
    <t>WOS:A1997XV76100011</t>
  </si>
  <si>
    <t>Gore, DB</t>
  </si>
  <si>
    <t>Blanketing snow and ice; constraints on radiocarbon dating deglaciation in East Antarctic oases</t>
  </si>
  <si>
    <t>biogenic sediment; deglaciation; Quaternary; radiocarbon dating; superimposed ice</t>
  </si>
  <si>
    <t>VESTFOLD HILLS; HOLOCENE DEGLACIATION; LARSEMANN HILLS; BUNGER HILLS; SEDIMENTS; SHELF; LAKES</t>
  </si>
  <si>
    <t>Radiocarbon dating of marine, lacustrine or terrestrial biogenic deposits is the main technique used to determine when deglaciation of the eases of East Antarctica occurred. However, at many of the eases of East Antarctica, including the Schirmacher Oasis, Stillwell Hills, Amery Oasis, Larsemann Hills, Taylor Islands and Grearson Oasis, snow and ice presently forms extensive blankets that fills valleys and some lake basins, covers perennial lake ice and in places overwhelms local topography to form ice domes up to hundreds of square kilometres in area. Field observations from Larsemann Hills and Taylor Islands suggest that under these conditions, terrestrial and lacustrine biogenic sedimentation is neither widespread nor abundant. If similar conditions prevailed in and around the eases immediately following retreat of the ice sheet, then a lengthy hiatus might exist between deglaciation and the onset of widespread or abundant biogenic sedimentation. As a result, radiocarbon dating might be a clumsy tool with which to reconstruct deglaciation history, and independent dating methods that record emergence of the hilltops from the continental ice must be employed as well.</t>
  </si>
  <si>
    <t>Gore, DB (corresponding author), MACQUARIE UNIV,SCH EARTH SCI,N RYDE,NSW 2109,AUSTRALIA.</t>
  </si>
  <si>
    <t>Gore, Damian/0000-0002-0377-8518</t>
  </si>
  <si>
    <t>10.1017/S0954102097000412</t>
  </si>
  <si>
    <t>WOS:A1997XV76100012</t>
  </si>
  <si>
    <t>Augustinus, PC; Gore, DB; Leishman, MR; Zwartz, D; Colhoun, EA</t>
  </si>
  <si>
    <t>Reconstruction of ice flow across the Bunger Hills, East Antarctica</t>
  </si>
  <si>
    <t>Bunger Hills; glaciation; ice flow reconstruction</t>
  </si>
  <si>
    <t>DEGLACIATION; TEMPERATURES; DEFORMATION; DEPOSITS; GLACIER</t>
  </si>
  <si>
    <t>In the Bunger Hills, mapping of glacial drift sheets and examination of striae patterns and other palaeo-ice flow direction indicators show that the largely ice-free region records the imprint of ice sheet expansion(s) during the late Cenozoic. In particular, ice moulded features and striae in southern Bunger Hills suggest formation during at least two episodes of ice sheet expansion, although whether they were formed during separate events or merely different phases of the same expansion of the ice sheet is not able to be discerned at present. The older event relates to thin ice with flow constrained by the topography, whilst the younger event relates to regional expansion of thick ice across the area. Discrimination of the order of emplacement of the cross-cutting striae patterns is possible at a number of sites. Palaeo-ice flow indicators confirm that ice sheet expansion over southern Bunger Hills was purely from the southern and eastern margins, although minor advances of the north-east flowing Edisto Glacier onto coastal areas occurred following retreat of the last extensive ice sheet phase.</t>
  </si>
  <si>
    <t>UNIV AUCKLAND,DEPT GEOG,AUCKLAND 1,NEW ZEALAND; MACQUARIE UNIV,SCH EARTH SCI,N RYDE,NSW 2109,AUSTRALIA; MACQUARIE UNIV,SCH BIOL SCI,N RYDE,NSW 2109,AUSTRALIA; AUSTRALIAN NATL UNIV,RES SCH EARTH SCI,CANBERRA,ACT 2601,AUSTRALIA; UNIV NEWCASTLE,DEPT GEOG,CALLAGHAN,NSW 2308,AUSTRALIA</t>
  </si>
  <si>
    <t>University of Auckland; Macquarie University; Macquarie University; Australian National University; University of Newcastle</t>
  </si>
  <si>
    <t>Augustinus, PC (corresponding author), UNIV AUCKLAND,DEPT GEOG,PRIVATE BAG 92019,AUCKLAND 1,NEW ZEALAND.</t>
  </si>
  <si>
    <t>Leishman, Michelle/AAU-4102-2020; Augustinus, Paul/B-5125-2011</t>
  </si>
  <si>
    <t>Leishman, Michelle/0000-0003-4830-5797; Gore, Damian/0000-0002-0377-8518; Augustinus, Paul/0000-0002-1391-2151</t>
  </si>
  <si>
    <t>10.1017/S0954102097000424</t>
  </si>
  <si>
    <t>WOS:A1997XV76100013</t>
  </si>
  <si>
    <t>Harangozo, SA; Colwell, SR; King, JC</t>
  </si>
  <si>
    <t>An analysis of a 34-year air temperature record from Fossil Bluff (71 degrees S, 68 degrees W), Antarctica</t>
  </si>
  <si>
    <t>air temperature variations; Antarctic Peninsula; climate change</t>
  </si>
  <si>
    <t>SEA ICE; PENINSULA</t>
  </si>
  <si>
    <t>An analysis of a long-term surface air temperature record for Fossil Bluff in the George VI Sound, West Antarctic Peninsula (WAP) documents in detail some important aspects of the climate of this area for the first time. The analysis identifies the close dependency of air temperatures on latitude in the WAP but reveals that the strength of this dependency is greatest in winter. This result along with others leads to the Fossil Bluff climate regime being characterized as 'continental' rather than 'maritime' as found further north. The WAP as a whole displays large interannual temperature variability but this is greatest in Marguerite Bay rather than the Fossil Bluff area. Evidence is also provided for secular climatic change appearing in summer throughout the WAP over the last few decades. The representativeness of existing Antarctic Peninsula annual air temperature climatologies, based mainly on snow temperature measurements, for the winter and summer periods is also noted.</t>
  </si>
  <si>
    <t>Harangozo, SA (corresponding author), BRITISH ANTARCTIC SURVEY,NERC,HIGH CROSS,MADINGLEY RD,CAMBRIDGE CB3 0ET,ENGLAND.</t>
  </si>
  <si>
    <t>10.1017/S0954102097000436</t>
  </si>
  <si>
    <t>WOS:A1997XV76100014</t>
  </si>
  <si>
    <t>Manton, MJ</t>
  </si>
  <si>
    <t>Monitoring and prediction of UV radiation in Australia</t>
  </si>
  <si>
    <t>Menzies-Foundation Conference on Stratospheric Ozone and UV Radiation</t>
  </si>
  <si>
    <t>SEP 09-11, 1996</t>
  </si>
  <si>
    <t>ARCTIC STRATOSPHERIC EXPEDITION; TOTAL OZONE; ANTARCTICA</t>
  </si>
  <si>
    <t>Because of its damaging impact on living matter, the flux of UV radiation at the earth's surface needs to be monitored and predicted. This requirement has been highlighted in recent years by the measurable reduction in global stratospheric ozone, which attenuates the flux of solar UV radiation. However, over the last decade there has been substantial progress in identifying the nature of stratospheric ozone depletion and in establishing international policies to respond to the problems associated with the emission of ozone-depleting substances into the atmosphere. Notwithstanding the scientific and political progress, the international community recognises the need to develop much more robust research and operational programs to ensure that the state of the stratospheric ozone layer and the flux of UV radiation to the surface can be effectively monitored and predicted. Because the meteorology of the southern hemisphere is quite different from that of the northern hemisphere, these programs cannot be ignored in our region. Australia is the most developed country in the southern hemisphere which is affected by the annual Antarctic ozone 'hole', and so we should play a leading role in these activities. In this paper, the current status of research and operational programs is reviewed, and the prospects for future developments are considered.</t>
  </si>
  <si>
    <t>Manton, MJ (corresponding author), BUR METEOROL,RES CTR,GPO BOX 1289K,MELBOURNE,VIC 3001,AUSTRALIA.</t>
  </si>
  <si>
    <t>PO BOX 84, CANBERRA 2601, AUSTRALIA</t>
  </si>
  <si>
    <t>YA522</t>
  </si>
  <si>
    <t>WOS:A1997YA52200003</t>
  </si>
  <si>
    <t>Fraser, P</t>
  </si>
  <si>
    <t>Chemistry of stratospheric ozone and ozone depletion</t>
  </si>
  <si>
    <t>ANTARCTIC OZONE; TROPOSPHERIC ABUNDANCE; CARBON-TETRACHLORIDE; GROWTH-RATES; CHLORINE; TRENDS; EMISSIONS; RADICALS; DECREASE; LIFETIME</t>
  </si>
  <si>
    <t>The abundance of ozone in the stratosphere is, in part, determined by photochemical production of ozone and the abundances of reactive trace chemical species (HOX, NOX, ClOX, BrOX) that catalyse ozone removal processes. Significant stratospheric ozone losses, first detected during spring over Antarctica, now extend to all seasons and all latitudes poleward of 30 degrees in both hemispheres. Observations have demonstrated that gasphase and heterogeneous chlorine and bromine chemistries play major roles in the chemical destruction of ozone in both the midlatitude and polar lower stratospheres. Agricultural, industrial and domestic activities can influence the abundances of these ozone-destroying catalysts and therefore can affect the levels of ozone in the stratosphere. The CFCs, long-lived chlorinated solvents, the HCFCs, halons and methyl bromide are the major anthropogenic sources of stratospheric chlorine and bromine. Observations from monitoring networks worldwide have demonstrated either slowdowns or reversals in the growth rates of most of the major halocarbon species (CFCs, long-lived chlorinated solvents, halons), whereas the HCFCs, which are interim replacement chemicals for CFCs under the Montreal Protocol, are still increasing rapidly and the HFCs, the long-term replacements for CFCs, have now been found in the atmosphere for the first time. At present the Montreal Protocol appears to be working in controlling ozone-depleting substances (ODSs) in the background atmosphere. However, there may be still some problems ahead for stratospheric ozone, associated with the economic costs of replacement of some ODSs, the growth of the use of ODSs in the developing world and the uncertain effect of long-term climate change on ozone depletion.</t>
  </si>
  <si>
    <t>Fraser, P (corresponding author), CSIRO,DIV ATMOSPHER RES,CRC SO HEMISPHERE METEOROL,PRIVATE BAG 1,ASPENDALE,VIC 3195,AUSTRALIA.</t>
  </si>
  <si>
    <t>Fraser, Paul J. B./D-1755-2012</t>
  </si>
  <si>
    <t>WOS:A1997YA52200005</t>
  </si>
  <si>
    <t>Atkinson, RJ</t>
  </si>
  <si>
    <t>Ozone variability over the southern hemisphere</t>
  </si>
  <si>
    <t>QUASI-BIENNIAL OSCILLATION; ANTARCTIC OZONE; DEPLETION; IMPACT; HOLE</t>
  </si>
  <si>
    <t>The variability of atmospheric ozone over the southern hemisphere is described, being important in understanding the health effects of ozone depletion, A brief summary is provided of the main features and causes of the observed global mean ozone distribution and its seasonal cycle, Next follows a more detailed discussion of ozone fluctuations occurring across the range of timescales from a day to many Sears, their variation with latitude and season, and their primary causes, Then the long-term trends are considered; their spatial and seasonal structure, and current understanding of the mechanisms responsible, The paper concludes with a brief discussion of a few of the more pressing scientific issues faced by ozone researchers, and some speculation on the prospects for ozone-layer depletion into the next century.</t>
  </si>
  <si>
    <t>COOPERAT RES CTR SO HEMISPHERE METEOROL,MELBOURNE,VIC,AUSTRALIA</t>
  </si>
  <si>
    <t>Atkinson, RJ (corresponding author), BUR METEOROL,ATMOSPHERE WATCH SECT,GPO BOX 1289K,MELBOURNE,VIC 3001,AUSTRALIA.</t>
  </si>
  <si>
    <t>WOS:A1997YA52200006</t>
  </si>
  <si>
    <t>Cugini, P; Camillieri, G; Alessio, L; Cristina, G; Petrangeli, M; Capodaglio, PF</t>
  </si>
  <si>
    <t>Ambulatory blood pressure monitoring in clinically healthy subjects adapted to living in Antarctica</t>
  </si>
  <si>
    <t>CIRCADIAN-RHYTHM; ESSENTIAL-HYPERTENSION; HUNGER SENSATION; SHIFT WORKERS; HEART-RATE; TM-2420</t>
  </si>
  <si>
    <t>This study investigates 24-h blood pressure (BP) and heart rate (HR) values in clinically healthy subjects adapted to living in Antarctica, as compared to their coeval subjects living in their home country. Its aim is to detect how cardiovascular rhythms behave in those environmental conditions and occupational cues. The 24-h BP and HR values were measured via a noninvasive ambulatory monitor, and statistically analyzed via conventional and chronobiological procedures. The normotensive subjects living in Antarctica were seen to show significant changes in the daily mean level of systolic BP (increase) and HR (decrease) as compared to their controls. In addition, they were seen to show the BP and HR circadian rhythms to be perfectly synchronized to the 24-h cycle, despite the permanent solar light, as an effect imposed by the routines of their local lifestyle. The observed changes reflect a tonic modulation of the BP and HR circadian rhythms which allows the cardiovascular apparatus to adapt itself without imposing an extra load on its function.</t>
  </si>
  <si>
    <t>UNIV ROMA LA SAPIENZA, MED SEMEIOL &amp; METHODOL CHRONOBIOL UNIT, I-00185 ROME, ITALY; CNR, NATL PROJECT ANTARCTIC RES, ROME, ITALY</t>
  </si>
  <si>
    <t>Sapienza University Rome; Consiglio Nazionale delle Ricerche (CNR)</t>
  </si>
  <si>
    <t>XU847</t>
  </si>
  <si>
    <t>WOS:A1997XU84700003</t>
  </si>
  <si>
    <t>Tveraa, T; Lorentsen, SH; Saether, BE</t>
  </si>
  <si>
    <t>Regulation of foraging trips and costs of incubation shifts in the Antarctic petrel (Thalassoica antarctica)</t>
  </si>
  <si>
    <t>BEHAVIORAL ECOLOGY</t>
  </si>
  <si>
    <t>PELAGIC SEABIRD; HALOBAENA-CAERULEA; PARENTAL EFFORT; BODY-MASS; LONG; PERFORMANCE; ALBATROSSES; PENGUINS; ROUTINE</t>
  </si>
  <si>
    <t>In species where incubation is shared by both parents, the mate's ability to fast on the nest may constrain the time available for foraging. The decision to return to the nest should therefore be a compromise between an animal's own foraging success and its mate's ability to fast on the nest. To examine how the body conditions of incubating Antarctic petrels, Thalassoica antarctica, influence both the length of foraging trips and incubation shifts, we experimentally handicapped females by increasing their flight costs during a foraging trip by adding lead weights to their legs. Handicapped females spent more time at sea and had lower body conditions at arrival to the colony than controls, and, moreover, females in poor body condition at arrival to the colony spent generally more time at sea than those with higher body condition. The prolonged time period spent at sea by handicapped females was associated with higher desertion rates than among controls. The time the incubating mates fasted increased with their body condition at arrival to the colony, suggesting that a high body condition of the incubating bird may reduce the probability of nest desertion. Accordingly, our results suggest that the time spent foraging is adjusted to the body conditions of both the foraging and incubating mate.</t>
  </si>
  <si>
    <t>Tveraa, T (corresponding author), NORWEGIAN INST NAT RES, DEPT ARCT ECOL, STORGATA 25, N-9005 TROMSO, NORWAY.</t>
  </si>
  <si>
    <t>1045-2249</t>
  </si>
  <si>
    <t>1465-7279</t>
  </si>
  <si>
    <t>BEHAV ECOL</t>
  </si>
  <si>
    <t>Behav. Ecol.</t>
  </si>
  <si>
    <t>10.1093/beheco/8.5.465</t>
  </si>
  <si>
    <t>Behavioral Sciences; Biology; Ecology; Zoology</t>
  </si>
  <si>
    <t>Behavioral Sciences; Life Sciences &amp; Biomedicine - Other Topics; Environmental Sciences &amp; Ecology; Zoology</t>
  </si>
  <si>
    <t>XX338</t>
  </si>
  <si>
    <t>WOS:A1997XX33800001</t>
  </si>
  <si>
    <t>GendronBadou, A; Pichon, JJ; Frohlich, F</t>
  </si>
  <si>
    <t>Sedimentary records of climatic and oceanographic changes northwest of Kerguelen (southern Indian Ocean) during the last 620,000 years</t>
  </si>
  <si>
    <t>COMPTES RENDUS DE L ACADEMIE DES SCIENCES SERIE II FASCICULE A-SCIENCES DE LA TERRE ET DES PLANETES</t>
  </si>
  <si>
    <t>diatoms; biogenic sedimentation; paleotemperatures; paleoceanography; Pleistocene; Antarctic Polar Front; Kerguelen</t>
  </si>
  <si>
    <t>BRUNHES</t>
  </si>
  <si>
    <t>The comparison of carbonate and biogenic silica content with the past sea surface temperature estimated by the siliceous flora in a sediment core from the north-west of Kerguelen (located just southwards of the Subantarctic Front) during the Late Quaternary is presented. The interglacial stages correspond to the carbonate maxima and include a subantarctic assemblage of siliceous phytoplankton, while the glacial stages of biogenic silica maxima are caracterised by flora typical of the area south of the Antarctic Polar Front. By comparing this data, we can show that the Polar Front has migrated at least 4 degrees northwards during the glacial periods.</t>
  </si>
  <si>
    <t>UNIV BORDEAUX 1,URA CNRS 197,DEPT GEOL &amp; OCEANOG,F-33405 TALENCE,FRANCE; CNRS URA 1761,F-75005 PARIS,FRANCE</t>
  </si>
  <si>
    <t>Universite de Bordeaux; Centre National de la Recherche Scientifique (CNRS)</t>
  </si>
  <si>
    <t>GendronBadou, A (corresponding author), MNHN,GEOL LAB,43 RUE BUFFON,F-75005 PARIS,FRANCE.</t>
  </si>
  <si>
    <t>EDITIONS SCIENTIFIQUES MEDICALES ELSEVIER</t>
  </si>
  <si>
    <t>141 RUE JAVEL, 75747 PARIS, FRANCE</t>
  </si>
  <si>
    <t>CR ACAD SCI II A</t>
  </si>
  <si>
    <t>Comptes Rendus Acad. Sci. Ser II-A</t>
  </si>
  <si>
    <t>10.1016/S1251-8050(97)81382-1</t>
  </si>
  <si>
    <t>XZ946</t>
  </si>
  <si>
    <t>WOS:A1997XZ94600006</t>
  </si>
  <si>
    <t>Westh, P; Ramlov, H; Wilson, PW; DeVries, AL</t>
  </si>
  <si>
    <t>Vapour pressure of aqueous antifreeze glycopeptide solutions</t>
  </si>
  <si>
    <t>water activity; mechanism of AFGP; kinetic and equilibrium contributions to antifreeze effect</t>
  </si>
  <si>
    <t>ANTARCTIC FISHES; POLAR FISHES; ICE; INHIBITION; ADSORPTION; PEPTIDES; GLYCOPROTEINS; PROTEIN; WATER; MECHANISM</t>
  </si>
  <si>
    <t>Measurements are reported of the vapour pressure of liquid, partially frozen and frozen aqueous solutions of antifreeze glycopeptides at temperatures ranging from -1 to 0 degrees C. Results indicate that at a given temperature, the activity of water in liquid or partially frozen (ca. 5% ice content) solutions is approximately the same as the activity of pure supercooled water. In a completely frozen solution, on the other hand, water activity is equal to that of pure ice. The data show that the antifreeze peptides only affect bulk properties of liquid as well as frozen solutions to a very limited extent, and thus provide direct evidence that the inhibiting effect of these molecules on ice formation is an entirely kinetic (non-equilibrium) phenomenon.</t>
  </si>
  <si>
    <t>UNIV OTAGO,SCH MED,DEPT PHYSIOL,DUNEDIN,NEW ZEALAND; UNIV ILLINOIS,DEPT PHYSIOL &amp; BIOPHYS,URBANA,IL 61801</t>
  </si>
  <si>
    <t>University of Otago; University of Illinois System; University of Illinois Urbana-Champaign</t>
  </si>
  <si>
    <t>Westh, P (corresponding author), ROSKILDE UNIV CTR,DEPT CHEM &amp; LIFE SCI,POB 260,DK-4000 ROSKILDE,DENMARK.</t>
  </si>
  <si>
    <t>Westh, Peter/AAR-9731-2021; Wilson, Peter W/E-9174-2010; Wilson, Peter/AAT-6428-2020</t>
  </si>
  <si>
    <t>Wilson, Peter/0000-0002-1535-6398; Ramlov, Hans/0000-0003-1113-0583; Westh, Peter/0000-0002-6185-0637</t>
  </si>
  <si>
    <t>YG485</t>
  </si>
  <si>
    <t>WOS:A1997YG48500004</t>
  </si>
  <si>
    <t>Alekseev, GV; Bulatov, LV; Zakharov, VF; Ivanov, VV</t>
  </si>
  <si>
    <t>Advection of unusual warm Atlantic water into the Arctic basin</t>
  </si>
  <si>
    <t>DOKLADY AKADEMII NAUK</t>
  </si>
  <si>
    <t>Alekseev, GV (corresponding author), RUSSIAN FEDERAT STATE RES CTR,ARCTIC &amp; ANTARCTIC RES INST,ST PETERSBURG,RUSSIA.</t>
  </si>
  <si>
    <t>Ivanov, Vladimir/J-5979-2014; Ivanov, Vladimir/AAX-6830-2020</t>
  </si>
  <si>
    <t>Ivanov, Vladimir/0000-0003-2569-6027;</t>
  </si>
  <si>
    <t>0869-5652</t>
  </si>
  <si>
    <t>DOKL AKAD NAUK+</t>
  </si>
  <si>
    <t>Dokl. Akad. Nauk</t>
  </si>
  <si>
    <t>YE978</t>
  </si>
  <si>
    <t>WOS:A1997YE97800030</t>
  </si>
  <si>
    <t>Blagoveshchenskaya, NF; Vovk, VY; Kornienko, VA; Moskvin, IV</t>
  </si>
  <si>
    <t>Wave processes in high-latitude ionosphere according to complex radiophysical observation data</t>
  </si>
  <si>
    <t>DISTURBANCES</t>
  </si>
  <si>
    <t>Blagoveshchenskaya, NF (corresponding author), ARKTIC &amp; ANTARCTIC RES INST,ST PETERSBURG,RUSSIA.</t>
  </si>
  <si>
    <t>YB625</t>
  </si>
  <si>
    <t>WOS:A1997YB62500009</t>
  </si>
  <si>
    <t>Boutin, J; Etcheto, J</t>
  </si>
  <si>
    <t>Long-term variability of the air-sea CO2 exchange coefficient: Consequences for the CO2 fluxes in the equatorial Pacific ocean</t>
  </si>
  <si>
    <t>NINO SOUTHERN OSCILLATION; WIND-SPEED MEASUREMENTS; CARBON-DIOXIDE; EL-NINO; TROPICAL PACIFIC; SURFACE TEMPERATURE; SATELLITE; GEOSAT; MODEL; EVENT</t>
  </si>
  <si>
    <t>Global distributions of the air-sea CO2 exchange coefficient are deduced from the remotely sensed Geosat and special sensor microwave imager wind speeds from April 1985 to December 1992. The global 8-year average of the air-sea CO2 exchange coefficient is 3.15 10(-2) mol m(-2) yr(-1) mu atm(-1). The peak-to-peak interannual variations are as large as the amplitude of the seasonal cycle in the tropical oceans and in the Antarctic Ocean, whereas in the northern high latitudes the seasonal variability dominates. The exchange coefficient time series is combined with air-sea CO2 partial pressure gradient that we extrapolate between 0 degrees N and 5 degrees S in the equatorial Pacific Ocean, and a zonal distribution of the air-sea CO2 fluxes is presented from 1985 to 1992. While the maximum of the CO2 partial pressure gradient is located in the eastern Pacific, the maximum of the flux is in the central Pacific because of low exchange coefficients in the eastern Pacific. The largest interannual variation, 3.5 mol m(-2) yr(-1), occurs in the central Pacific between 1987 and 1989 because the 1986-1987 El-Nino event drives ocean partial pressure close to equilibrium with the atmosphere and the 1988-1989 La Nina event brings about both high partial pressure gradient and strong exchange coefficient.</t>
  </si>
  <si>
    <t>Boutin, J (corresponding author), UNIV PARIS 06,CNRS,INSU,LODYC,CASE 100,4 PL JUSSIEU,TOUR 14 2EME ETAGE,F-75252 PARIS 05,FRANCE.</t>
  </si>
  <si>
    <t>/M-2253-2016</t>
  </si>
  <si>
    <t>/0000-0003-2845-4912</t>
  </si>
  <si>
    <t>10.1029/97GB01367</t>
  </si>
  <si>
    <t>XT619</t>
  </si>
  <si>
    <t>WOS:A1997XT61900011</t>
  </si>
  <si>
    <t>Morgan, V; vanOmmen, TD</t>
  </si>
  <si>
    <t>Seasonality in late-Holocene climate from ice-core records</t>
  </si>
  <si>
    <t>HOLOCENE</t>
  </si>
  <si>
    <t>climate history; ice cores; seasonal variability; temperature; 'Little Ice Age'; late Holocene; delta O-18; high resolution; stable isotopes</t>
  </si>
  <si>
    <t>High-resolution ice-core delta(18)O data from a site with well preserved seasonal cycles are used to extract seasonal temperature trends over the last 700 years with an effective resolution of a few months. Examination of this record on timescales of decades to centuries shows distinctly different patterns of temperature variation between summer and winter. Over the last 700 years, the summer months show relatively little change, with the coolest summers occurring early this century. The winters, in contrast, show significant fluctuations including a period of warmer temperatures between AD 1400 and 1500 and a colder period centred around the early 1800s which corresponds to the latter part of an era of glacier advance and cold winters in Europe sometimes known as the 'Little Ice Age' (LIA). Since many proxy temperature indicators respond principally to seasonal extremes, they will consequently give biased results in the presence of seasonally confined trends. This may account for the fact that events such as the LIA do not appear in some records.</t>
  </si>
  <si>
    <t>AUSTRALIAN ANTARCTIC DIV,HOBART,TAS,AUSTRALIA</t>
  </si>
  <si>
    <t>Morgan, V (corresponding author), ANTARCTIC CRC,GPO BOX 252-80,HOBART,TAS,AUSTRALIA.</t>
  </si>
  <si>
    <t>ARNOLD, HODDER HEADLINE PLC</t>
  </si>
  <si>
    <t>338 EUSTON ROAD, LONDON, ENGLAND NW1 3BH</t>
  </si>
  <si>
    <t>0959-6836</t>
  </si>
  <si>
    <t>Holocene</t>
  </si>
  <si>
    <t>10.1177/095968369700700312</t>
  </si>
  <si>
    <t>YB599</t>
  </si>
  <si>
    <t>WOS:A1997YB59900012</t>
  </si>
  <si>
    <t>Early, DS; Long, DG</t>
  </si>
  <si>
    <t>Azimuthal modulation of C-band scatterometer sigma(0) over southern ocean sea ice</t>
  </si>
  <si>
    <t>ENHANCED-RESOLUTION; MARGINAL ICE; BACKSCATTER</t>
  </si>
  <si>
    <t>In a continuing evaluation of the ERS-1 C-band scatterometer as a tool for studying polar sea ice, we evaluate the azimuthal modulation characteristics of Antarctic sea ice. ERS-1 AMI scatterometer mode data sets from several study regions dispersed in the Antarctic seasonal sea ice pack are evaluated for azimuthal modulation, When appropriate, the incidence angle dependence is estimated and removed in a study region before determining,whether azimuthal modulation is present in the data. Other comparisons are made using the fore and aft beam measurement difference. Our results show that over the ice pack, azimuthal modulation is less than 1 dB at the scale of observation of the ERS-1 C-band scatterometer.</t>
  </si>
  <si>
    <t>Early, DS (corresponding author), BRIGHAM YOUNG UNIV,PROVO,UT 84601, USA.</t>
  </si>
  <si>
    <t>Long, David G./K-4908-2015</t>
  </si>
  <si>
    <t>Long, David G./0000-0002-1852-3972</t>
  </si>
  <si>
    <t>345 E 47TH ST, NEW YORK, NY 10017-2394</t>
  </si>
  <si>
    <t>10.1109/36.628787</t>
  </si>
  <si>
    <t>XW390</t>
  </si>
  <si>
    <t>WOS:A1997XW39000011</t>
  </si>
  <si>
    <t>Herique, A; Kofman, W</t>
  </si>
  <si>
    <t>Determination of the ice dielectric permittivity using the data of the test in Antarctica of the ground-penetrating radar for Mars'98 mission</t>
  </si>
  <si>
    <t>ground-penetrating radar; ice permittivity; migration</t>
  </si>
  <si>
    <t>A ground-penetrating radar will be integrated inside the guiderope ballast of the Mars'98 balloon mission, A prototype of this impulse system working in the 5-15 MHz band was tested close to Dumont d'Urville, the French Antarctic Station, in February 1993, We obtained a large set of profiles in cold ice with a glacier thickness from 200 to about 900 m, For each depth, the measured echoes are very clear with a good signal-to-noise ratio (SNR). In this paper, nle firstly describe the performances of the radar and we study the electromagnetic propagation in the Antarctica glacier, This knowledge allows us to use the frequency wavenumber migration to focus the signal, to increase the SNR and to rebuild an image of the subsurface. The migration process gives a good estimation of the real part of the permittivity (i.e., the velocity), The fact that the signal comes from different depths is used to measure the imaginary part of the permittivity which defines the ice attenuation. The spectral analysis gives its frequency dependence.</t>
  </si>
  <si>
    <t>Herique, A (corresponding author), ENSIEG,CEPHAG,BP 46,F-38402 ST MARTIN DHER,FRANCE.</t>
  </si>
  <si>
    <t>Herique, Alain/E-7210-2017; Kofman, Wlodek/C-4556-2008</t>
  </si>
  <si>
    <t>Herique, Alain/0000-0003-3699-883X; Kofman, Wlodek/0000-0002-6744-8796</t>
  </si>
  <si>
    <t>10.1109/36.628799</t>
  </si>
  <si>
    <t>WOS:A1997XW39000023</t>
  </si>
  <si>
    <t>Barbante, C; Bellomi, T; Mezzadri, G; Cescon, P; Scarponi, G; Morel, C; Jay, S; VanDeVelde, K; Ferrari, C; Boutron, CF</t>
  </si>
  <si>
    <t>Direct determination of heavy metals at picogram per gram levels in Greenland and Antarctic snow by double focusing inductively coupled plasma mass spectrometry</t>
  </si>
  <si>
    <t>JOURNAL OF ANALYTICAL ATOMIC SPECTROMETRY</t>
  </si>
  <si>
    <t>1997 European Winter Conference on Plasma Spectrochemistry</t>
  </si>
  <si>
    <t>JAN 12-17, 1997</t>
  </si>
  <si>
    <t>double focusing inductively coupled plasma mass spectrometry; trace elements; snow; Greenland; Antarctica</t>
  </si>
  <si>
    <t>ATOMIC FLUORESCENCE SPECTROMETRY; ULTRATRACE DETERMINATION; ANTHROPOGENIC LEAD; SCOTTISH HIGHLANDS; TRACE-ELEMENTS; POLAR SNOW; LATE 1960S; ICE; CADMIUM; ZINC</t>
  </si>
  <si>
    <t>The potential of a double focusing ICP-MS instrument in terms of high sensitivity, sample throughput and low volume of sample consumed was investigated for the direct, simultaneous determination of Co, Cu, Zn, Mo, Pd, Ag, Cd, Sb, Pt, Ph, Ri and U at the low and sub-pg g(-1) level in polar snow, The entire analytical procedure, including cleaning of material, field sampling, sample handling, determination of the blanks and instrumental analysis, is described. The mean concentrations detected in snow samples collected in Central Greenland (2.7 m deep pit) are (in pg g(-1)): Co 5.8, Cu 4.6, Zn 47, Mo 1.6, Pd 1.1, Ag 0.60, Sb 0.86, Pt 0.61, Bi 2.5 and U 1.8, The Cd, Pb and U concentrations in a snow core section collected in East Antarctica are: Cd 0.39, Pb 5.0, U 0.04 pg g(-1). Repeatability of measurements ranges between 8 and 25% depending on the element considered. For some of the elements investigated these results constitute the first available for polar snow, The results of direct analysis by double focusing ICP-MS on Cd and Pb in the Antarctic snow samples and on Zn and Cu in Greenland samples are consistent with those obtained by differential pulse anodic stripping voltammetry (DPASV) and graphite furnace atomic absorption spectrometry (GFAAS), respectively.</t>
  </si>
  <si>
    <t>CNRS, LAB GLACIOL &amp; GEOPHYS ENVIRONM, F-38402 ST MARTIN DHERES, FRANCE; CNR, CTR STUDIO CHIM &amp; TECNOL AMBIENTE, I-30123 VENICE, ITALY; UNIV GRENOBLE 1, INST SCI &amp; TECH GRENOBLE, F-38041 GRENOBLE, FRANCE; UNIV GRENOBLE 1, UFR MECAN, INST UNIV FRANCE, F-38041 GRENOBLE, FRANCE</t>
  </si>
  <si>
    <t>Centre National de la Recherche Scientifique (CNRS); Consiglio Nazionale delle Ricerche (CNR); Communaute Universite Grenoble Alpes; Universite Grenoble Alpes (UGA); Communaute Universite Grenoble Alpes; Universite Grenoble Alpes (UGA); Institut Universitaire de France</t>
  </si>
  <si>
    <t>Barbante, C (corresponding author), UNIV VENICE, DIPARTIMENTO SCI AMBIENTALI, DORSODURO 2137, I-30123 VENICE, ITALY.</t>
  </si>
  <si>
    <t>Barbante, Carlo/B-3195-2011; Capodaglio, Gabriele/D-5295-2014</t>
  </si>
  <si>
    <t>Capodaglio, Gabriele/0000-0002-3689-4865; Cescon, Paolo/0000-0003-1836-6759; Barbante, Carlo/0000-0003-4177-2288</t>
  </si>
  <si>
    <t>THOMAS GRAHAM HOUSE, SCIENCE PARK, MILTON RD, CAMBRIDGE CB4 0WF, CAMBS, ENGLAND</t>
  </si>
  <si>
    <t>0267-9477</t>
  </si>
  <si>
    <t>J ANAL ATOM SPECTROM</t>
  </si>
  <si>
    <t>J. Anal. At. Spectrom.</t>
  </si>
  <si>
    <t>10.1039/a701686g</t>
  </si>
  <si>
    <t>Chemistry, Analytical; Spectroscopy</t>
  </si>
  <si>
    <t>Chemistry; Spectroscopy</t>
  </si>
  <si>
    <t>XW803</t>
  </si>
  <si>
    <t>WOS:A1997XW80300010</t>
  </si>
  <si>
    <t>DeSantis, A; DeFranceschi, G; Perrone, L</t>
  </si>
  <si>
    <t>Spectral and fractal analyses of geomagnetic and riometric Antarctic observations and a multidimensional index of activity (vol 59, pg 1073, 1997)</t>
  </si>
  <si>
    <t>Correction, Addition</t>
  </si>
  <si>
    <t>R1</t>
  </si>
  <si>
    <t>XP873</t>
  </si>
  <si>
    <t>WOS:A1997XP87300016</t>
  </si>
  <si>
    <t>Olsson, O</t>
  </si>
  <si>
    <t>Clutch abandonment: a state-dependent decision in King Penguins</t>
  </si>
  <si>
    <t>JOURNAL OF AVIAN BIOLOGY</t>
  </si>
  <si>
    <t>INCUBATION ROUTINE; GEESE</t>
  </si>
  <si>
    <t>When King Penguin Aptenodytes patagonicus males arrive on the breeding grounds to start courtship, their energy reserves must sustain them during a fast lasting about five weeks, including the first incubation shift. If the female is delayed in relieving the incubating male, he must make a state-dependent decision of how long to wait until abandoning the egg (i.e. breeding failure). This is ultimately a life-history trade-off between current reproduction and future survival, and includes consideration of the size of his remaining energy reserves and his ability to replenish exhausted body reserves (foraging skills). Experienced males that abandoned the egg weighed significantly less (9.49 kg) at departure than relieved males (10.43 kg), but inexperienced males abandoned the egg at a nearly significantly higher body mass (10.27 kg) than experienced males. I conclude that experienced birds can compensate for lower body reserves by being more proficient foragers.</t>
  </si>
  <si>
    <t>UPPSALA UNIV, DEPT ZOOL, VILLAVAGEN 9, S-75236 UPPSALA, SWEDEN.</t>
  </si>
  <si>
    <t>0908-8857</t>
  </si>
  <si>
    <t>1600-048X</t>
  </si>
  <si>
    <t>J AVIAN BIOL</t>
  </si>
  <si>
    <t>J. Avian Biol.</t>
  </si>
  <si>
    <t>10.2307/3676979</t>
  </si>
  <si>
    <t>XX481</t>
  </si>
  <si>
    <t>WOS:A1997XX48100011</t>
  </si>
  <si>
    <t>Czaker, R</t>
  </si>
  <si>
    <t>Wittmannia antarctica N. G., N. Sp. (Nosematidae), a new hyperparasite in the Antarctic dicyemid mesozoan Kantharella antarctica</t>
  </si>
  <si>
    <t>JOURNAL OF EUKARYOTIC MICROBIOLOGY</t>
  </si>
  <si>
    <t>Antarctic dicyemid mesozoan; microsporidium; taxonomy</t>
  </si>
  <si>
    <t>MICROSPORA</t>
  </si>
  <si>
    <t>Collections of the dicyemid mesozoan Kantharella antarctica were made in the Weddell Sea during the Antarctic Expedition of the research vessel RV Polarstern in 1990 and 1991. A diplokaryotic microsporidian was found infecting all nematogens from all the samples taken in both years. The infected cells contained all developmental stages. Merogony initially was monokaryotic and sporogony of diplokaryotic sporonts was by multiple fission. The stained ovoidal spores measured between 4.3-6 mu m x 1.7-2.3 mu m. The ultrastructural findings come from 11 specimens of Kantharella antarctica that were cut in serial sections. Ail developmental stages were noteworthy because of the myelinosomes situated adjacent to each diplokaryon. Similarly conspicuous were some organelles in the spore: a prominent, extraordinarily electron dense anterior portion of the polaroplast and the posterior vacuole. The isofilar polar filament with a diameter of about 115 nn showed 9-11 coils. The great number of empty spore cases together with an extruded polar filament are indicative of an autoinfection. Though these characteristics resemble in part those of the genus Nosema from the family Nosematidae, the species in Kantharella antarctica differs from the former by its unusual development, Lie cycle and unusual host. Thus, this new species has been placed in a new genus and the name Wittmannia antarctica proposed.</t>
  </si>
  <si>
    <t>Czaker, R (corresponding author), UNIV VIENNA,INST HISTOL EMBRYOL,SCHWARZSPANIERSTR 17,A-1090 VIENNA,AUSTRIA.</t>
  </si>
  <si>
    <t>SOC PROTOZOOLOGISTS</t>
  </si>
  <si>
    <t>810 E 10TH ST, LAWRENCE, KS 66044</t>
  </si>
  <si>
    <t>1066-5234</t>
  </si>
  <si>
    <t>J EUKARYOT MICROBIOL</t>
  </si>
  <si>
    <t>J. Eukaryot. Microbiol.</t>
  </si>
  <si>
    <t>10.1111/j.1550-7408.1997.tb05721.x</t>
  </si>
  <si>
    <t>XW328</t>
  </si>
  <si>
    <t>WOS:A1997XW32800010</t>
  </si>
  <si>
    <t>Gardner, WD; Biscaye, PE; Richardson, MJ</t>
  </si>
  <si>
    <t>A sediment trap experiment in the Vema Channel to evaluate the effect of horizontal particle fluxes on measured vertical fluxes</t>
  </si>
  <si>
    <t>DEEP SARGASSO SEA; ATLANTIC-OCEAN; PANAMA BASIN; ABYSSAL HYDROGRAPHY; PARTICULATE MATTER; FIELD ASSESSMENT; TURBULENT FLOWS; WATER; RESUSPENSION; SEASONALITY</t>
  </si>
  <si>
    <t>Sediment traps are used to measure fluxes and collect samples for studies in biology, chemistry and geology, yet we have much to learn about factors that influence particle collection rates. Toward this end, we deployed cylindrical sediment traps on five current meter moorings across the Vema Channel to field-test the effect of different horizontal particle fluxes on the collection rate of the traps-instruments intended for the collection of vertically settling particles. The asymmetric flow of Antarctic Bottom Water through the Vema Channel created an excellent natural flume environment in which there were vertical and lateral gradients in the distribution of both horizontal velocity and particle concentration and, therefore, the resulting horizontal flux. Horizontal effects were examined by comparing quantities of collected material (apparent vertical fluxes) with the horizontal fluxes of particles past each trap. We also looked for evidence of hydrodynamic biases by comparing and contrasting the composition of trap material based on particle size and the concentration of Al, Si, Ca, Mg, Mn, C-org and CaCO3. Experimental inverted traps and traps with only side openings were deployed to test a hypothesis of how particles are collected in traps. The vertical flux of surface-water particles should have been relatively uniform over the 45 km region of the mooring locations, so if horizontal transport contributed significantly to collection rates in traps, the calculated trap fluxes should be correlated positively with the horizontal flux. If the horizontal flow caused undertrapping, there should be a negative correlation with velocity or Reynolds number. The gross horizontal flux past different traps varied by a factor of 37, yet the quantity collected by the traps differed by only a factor of 1.4. The calculated horizontal fluxes were 2-4 orders of magnitude larger than the measured apparent vertical fluxes. Mean velocities past the traps ranged from 1-22 cm s(-1) (Reynolds numbers of 3,500-43,000 for these traps with a diameter of 30.5 cm and an aspect ratio of similar to 3) and showed no statistically significant relationship to the apparent vertical flux. We conclude that at current speeds measured in a very large portion of the world's oceans, vertical fluxes measured with moored, cylindrical traps should exhibit little effect from horizontal currents.</t>
  </si>
  <si>
    <t>COLUMBIA UNIV, LAMONT DOHERTY GEOL OBSERV, PALISADES, NY 10964 USA</t>
  </si>
  <si>
    <t>Gardner, WD (corresponding author), TEXAS A&amp;M UNIV, DEPT OCEANOG, COLLEGE STN, TX 77843 USA.</t>
  </si>
  <si>
    <t>Gardner, Wilford D/E-2579-2012</t>
  </si>
  <si>
    <t>SEARS FOUNDATION MARINE RESEARCH</t>
  </si>
  <si>
    <t>YALE UNIV, KLINE GEOLOGY LAB, 210 WHITNEY AVENUE, NEW HAVEN, CT 06520-8109 USA</t>
  </si>
  <si>
    <t>10.1357/0022240973224139</t>
  </si>
  <si>
    <t>YH097</t>
  </si>
  <si>
    <t>WOS:A1997YH09700008</t>
  </si>
  <si>
    <t>Panter, KS; Kyle, PR; Smellie, JL</t>
  </si>
  <si>
    <t>Petrogenesis of a phonolite-trachyte succession at Mount Sidley, Marie Byrd Land, Antarctica</t>
  </si>
  <si>
    <t>JOURNAL OF PETROLOGY</t>
  </si>
  <si>
    <t>alkaline magmas; AFC; magma commingling; Marie Byrd Land; volcanism</t>
  </si>
  <si>
    <t>FRACTIONAL CRYSTALLIZATION; TRACE-ELEMENT; SOUTH GREENLAND; CANARY-ISLANDS; GEOCHEMICAL EVOLUTION; CRUSTAL CONTAMINATION; ALKALINE VOLCANO; WEST ANTARCTICA; GRAN-CANARIA; UPPER MANTLE</t>
  </si>
  <si>
    <t>The 1.5 Ma evolution of the Late Pliocene (5.7 to 4.2 Ma) Mt Sidley volcano, Marie Byrd Land, is examined using major and trace elements, Sr, Nd, O and Pb isotopic data. A large (5 km x 5 km) breached caldera exposes lavas and tephras, deep within Mt alkaline rock series are distinguished: (a) a strongly silica-under-saturated basanite to phonolite series; (b) a more silica-saturated to -oversaturated alkali basalt to trachyte series. Rock compositions in both series fall within a narrow range of Sr-87/Sr-86(i) (0.7028-0.7032), Nd-143/Nd-144(i) (0.51285-0.51290) and delta(18)O (5.0-6.0 parts per thousand), and with Pb-206/Pb-204 (&gt; 19.5), suggest an asthenospheric source containing a strong mantle plume component. Partial melting models require less than or equal to 2% melting to produce primary basanite and greater than or equal to 5% melting to produce alkali basalt from the same mantle source. The differentiation of diopside, olivine, plagioclase, titaniferous magnetite, nepheline and/or apatite from basanite to derive 35% mugearite, crystallization of a similar mineral assemblage from alkali basalt is modeled for compositions in the trachyte series. However, many trachytes have variable (87)/Sr-86(i) (0.7033-0.7042), low Nd-143/Nd-144(i) (0.51280-0.51283), high delta(18)O (6.5-8.4 parts per thousand) and are silica oversaturated, suggesting they are contaminated by crust. The trachytes evolved by a two-step assimilation-fractional crystallization of alkali basalt by calc-alkaline granitoids within the middle crust where high assimilation to crystallization rates (high-r AFC) produced trachytic magmas characterized by depletions in Ta and Nb relative to K and Rb. The second step involved further fractionation of these magmas by low-r AFC within the upper crust to produce another suite of trachytes showing extreme incompatible element enrichment (e.g. Zr &gt; 2000 p.p.m and Th &gt; 100 p.p.m).</t>
  </si>
  <si>
    <t>BRITISH ANTARCTIC SURVEY,CAMBRIDGE CB3 0ET,ENGLAND</t>
  </si>
  <si>
    <t>Panter, KS (corresponding author), NEW MEXICO INST MIN &amp; TECHNOL,DEPT EARTH &amp; ENVIRONM SCI,SOCORRO,NM 87801, USA.</t>
  </si>
  <si>
    <t>Panter, Kurt S/B-4486-2010</t>
  </si>
  <si>
    <t>Panter, Kurt S./0000-0002-0990-5880</t>
  </si>
  <si>
    <t>GREAT CLARENDON ST, OXFORD, ENGLAND OX2 6DP</t>
  </si>
  <si>
    <t>0022-3530</t>
  </si>
  <si>
    <t>J PETROL</t>
  </si>
  <si>
    <t>J. Petrol.</t>
  </si>
  <si>
    <t>10.1093/petrology/38.9.1225</t>
  </si>
  <si>
    <t>XX359</t>
  </si>
  <si>
    <t>WOS:A1997XX35900005</t>
  </si>
  <si>
    <t>Hall, MM; McCartney, M; Whitehead, JA</t>
  </si>
  <si>
    <t>Antarctic Bottom Water flux in the equatorial western Atlantic</t>
  </si>
  <si>
    <t>TROPICAL NORTH-ATLANTIC; BOUNDARY CURRENT; SOUTH-ATLANTIC; BRAZIL BASIN; DEEP-WATER; OCEAN; FLOW; TRANSPORT; CIRCULATION</t>
  </si>
  <si>
    <t>A moored array at the equator in the western basin of the Atlantic provides a 604-day time series of abyssal currents and temperatures spanning the full breadth of the Antarctic Bottom Water (AABW) flowing from the Brazil Basin to the Guiana Basin. Mean AABW transport is estimated to be 2.0 Sv (Sv = 10(6) m(3) s(-1)), comprising organized westward flow of 2.24 Sv and return flow of 0.24 Sv. The low-frequency variability;is dominated by a quasi-annual transport cycle of amplitude 0.9 Sv and a 120-day period of amplitude 0.6 Sv. Maximum transports occur in September-October, while minimum transports occur in February-March. Allowing for this quasi-annual cycle and extrapolating the 604-day record to a full two years adds about 7% to the estimated mean AABW transport. The array also provides limited sampling in the overlying lower North Atlantic Deep Water (LNADW), where a southern boundary intensified flow of LNADW gives the strongest recorded mean speed through the array, 9.9 cm s(-1) into the Brazil Basin. The LNADW records also have a quasi-annual cycle with strong LNADW flow episodes occurring in April-May. Time series of temperature indicate that the LNADW/AABW transition layer rises and falls in synchrony with the quasi-annual AABW transport cycle (uplifted transition layer during strong AABW transport periods). An observed overall warming trend appears to be accompanied by a decline in AABW transport.</t>
  </si>
  <si>
    <t>Hall, MM (corresponding author), WOODS HOLE OCEANOG INST,DEPT PHYS OCEANOG,WOODS HOLE,MA 02543, USA.</t>
  </si>
  <si>
    <t>10.1175/1520-0485(1997)027&lt;1903:ABWFIT&gt;2.0.CO;2</t>
  </si>
  <si>
    <t>XX164</t>
  </si>
  <si>
    <t>WOS:A1997XX16400006</t>
  </si>
  <si>
    <t>Rahmstorf, S; England, MH</t>
  </si>
  <si>
    <t>Influence of Southern Hemisphere winds on North Atlantic Deep Water flow</t>
  </si>
  <si>
    <t>MIXED BOUNDARY-CONDITIONS; THERMOHALINE CIRCULATION; WORLD OCEAN; MODEL; THERMOCLINE; TEMPERATURE; FEEDBACK; CELLS</t>
  </si>
  <si>
    <t>A series of experiments with a hybrid model (ocean circulation model with simple atmospheric feedback model) and an ocean-only model is used to study the sensitivity of the ocean's deep overturning circulation to Southern Hemisphere winds. In particular, the ''Drake Passage effect'' is examined. The results show that two factors weaken the control that the Drake Passage effect exerts over the how of North Atlantic Deep Water (NADW). The first is that thermohaline forcing alone can generate about 75% of the NADW flow found in our model; this ability is lost if atmospheric feedback is neglected. The second is that about two-thirds of the downwelling induced by Ekman transport across Drake Passage occurs in the Southern Hemisphere just north of Drake Passage; only one-third occurs in the North Atlantic and enhances NADW flow. For these two reasons, the influence of Southern Ocean Winds on NADW flow is only moderate and nor as strong as previously suggested. However, the authors find that the formation rate of Antarctic Bottom Water depends strongly on the winds over the Southern Ocean.</t>
  </si>
  <si>
    <t>UNIV NEW S WALES,SCH MATH,SYDNEY,NSW,AUSTRALIA</t>
  </si>
  <si>
    <t>Rahmstorf, S (corresponding author), POTSDAM INST CLIMATE IMPACT RES,POB 60 12 03,D-14412 POTSDAM,GERMANY.</t>
  </si>
  <si>
    <t>Rahmstorf, Stefan/A-8465-2010; England, Matthew/A-7539-2011</t>
  </si>
  <si>
    <t>Rahmstorf, Stefan/0000-0001-6786-7723; England, Matthew/0000-0001-9696-2930</t>
  </si>
  <si>
    <t>10.1175/1520-0485(1997)027&lt;2040:IOSHWO&gt;2.0.CO;2</t>
  </si>
  <si>
    <t>WOS:A1997XX16400015</t>
  </si>
  <si>
    <t>Ohman, MD</t>
  </si>
  <si>
    <t>On the determination of zooplankton lipid content and the occurrence of gelatinous copepods</t>
  </si>
  <si>
    <t>ANTARCTIC COPEPODS; CALANUS-PROPINQUUS; CALANOIDES-ACUTUS; WAX ESTERS; PHYTOPLANKTON; CALIFORNIA; STORAGE; FECUNDITY; GROWTH; DEPTH</t>
  </si>
  <si>
    <t>Wax esters extracted and purified from the copepod Calanus pacificus elicit a different response in quantitative thin-layer chromatography-flame ionization detection (TLC-FID) than simpler, saturated wax esters available from commercial sources and commonly used for instrument calibration. Failure to use native copepod wax esters in calibration procedures results in underestimates of 18-32% in wax ester content, depending on the mass of lipid loaded on chromarods. In contrast to wax esters, triacylglycerols from the copepod Eucalanus californicus, as well as phospholipids from E. californicus and C. pacificus, elicited no significant difference in detector response in comparisons with commercially available standard compounds. Extraction of copepod lipids in solutions of chloroform:methanol results in the release of non-lipid material. Therefore, indirect gravimetric measures of lipid content that rely on calculation of lipid mass by difference after 'de-fatting' copepods greatly overestimate the true lipid content. Lipid-specific assays with appropriate calibration standards are essential for the accurate quantification of the lipid content of planktonic animals. The water content differs appreciably among co-occurring species of copepods, averaging 82-84% in Rhincalanus nasutus, C. pacificus and Metridia pacifica, but 93% of body mass in E. californicus. The occurrence of gelatinous tissues in some planktonic copepod species underscores the need to take account of structural and life history diversity among taxa. Care must be taken in the selection of the independent variable used to scale zooplankton lipid content and other structural and metabolic relationships.</t>
  </si>
  <si>
    <t>Ohman, MD (corresponding author), UNIV CALIF SAN DIEGO,SCRIPPS INST OCEANOG 0227,LA JOLLA,CA 92093, USA.</t>
  </si>
  <si>
    <t>Ohman, Mark D/C-8763-2009</t>
  </si>
  <si>
    <t>Ohman, Mark D/0000-0001-8136-3695</t>
  </si>
  <si>
    <t>10.1093/plankt/19.9.1235</t>
  </si>
  <si>
    <t>XW791</t>
  </si>
  <si>
    <t>WOS:A1997XW79100003</t>
  </si>
  <si>
    <t>Priddle, J; Whitehouse, MJ; Atkinson, A; Brierley, AS; Murphy, EJ</t>
  </si>
  <si>
    <t>Diurnal changes in near-surface ammonium concentration - interplay between zooplankton and phytoplankton</t>
  </si>
  <si>
    <t>KRILL EUPHAUSIA-SUPERBA; VERTICAL NITROGEN FLUX; SOUTH-ORKNEY ISLANDS; ANTARCTIC KRILL; ELEMENTAL COMPOSITION; AUSTRAL SUMMER; METABOLIC-ACTIVITY; CHLOROPHYLL-A; EXCRETION; GEORGIA</t>
  </si>
  <si>
    <t>Data from a cruise in 1996 in the Southern Ocean near the island of South Georgia indicate that ammonium concentrations in near-surface waters (top 30 m of the water column) varied diurnally by similar to 0.2--0.35 mmol m(-3)day(-1)(3 h mean values) in different regimes. Maximum values (up to 1.3 mmol m(-3)) occurred around local midnight and minimum values (down to 0.1 mmol m(-3)) close to noon. This cyclicity was not found in other nutrients analysed (silicate, nitrate, nitrite and phos- phate). The potential for mixing ammonium-rich water from the pycnocline into the surface mixed layer (SML) at night is examined. Budget calculations for both ammonium and temperature suggest that complete mixing of the pycnocline water into the SML would increase concentration to observed levels. However, it would also give rise to changes in pycnocline ammonium concentration and temperatures which do not agree with observations. Moreover, such a model will not account for daytime drawdown, which is likely to be due to biological processes. A simple biological model combining night time excretion of ammonium by zooplankton and daytime uptake by phytoplankton simulates the observed change, but only if (i) the daily-averaged phytoplankton growth rate was of the order of 0.5-1 day(-1), (ii) this growth was strongly dependent on ammonium for its nitrogen nutrition, (iii) zooplankton grazing was sufficient to keep phytoplankton biomass at a constant level and (iv) much of the ingested nitrogen was excreted. The implications of these conditions are explored in the context of other observations during the study, and on the basis of published data. It appears that the re supply of inorganic nitrogen through zooplankton grazing may have been important in sustaining primary production, indicating a very tight coupling between grazers and their food supply. This conclusion is supported by comparison with results from a similar cruise in 1994. Then there was a reduction in the biomass of Antarctic krill, a major component of the zooplankton, to 14% of that observed in 1996. Diurnal change in ammonium concentration could not be detected and phytoplankton growth rate had been slower (about 0.25 d(-1)), providing support for the suggestion that biological processes were more important than physical mixing in generating ammonium cyclicity. The potential consequences for the biological cycling of carbon in high-and low-krill abundance years are discussed.</t>
  </si>
  <si>
    <t>Priddle, J (corresponding author), BRITISH ANTARCTIC SURVEY, NERC, HIGH CROSS, MADINGLEY RD, CAMBRIDGE CB3 0ET, ENGLAND.</t>
  </si>
  <si>
    <t>murphy, eugene/GZL-1620-2022; Atkinson, Angus/HOH-3417-2023; Whitehouse, Martin J/E-1425-2013; Brierley, Andrew/G-8019-2011</t>
  </si>
  <si>
    <t>10.1093/plankt/19.9.1305</t>
  </si>
  <si>
    <t>WOS:A1997XW79100008</t>
  </si>
  <si>
    <t>Edwards, HGM; Russell, NC; WynnWilliams, DD</t>
  </si>
  <si>
    <t>Fourier transform Raman spectroscopic and scanning electron microscopic study of cryptoendolithic lichens from Antarctica</t>
  </si>
  <si>
    <t>JOURNAL OF RAMAN SPECTROSCOPY</t>
  </si>
  <si>
    <t>GEORAMAN 96 Conference</t>
  </si>
  <si>
    <t>JUN 10-12, 1996</t>
  </si>
  <si>
    <t>RENAISSANCE FRESCOES; BIODETERIORATION; ENCRUSTATIONS; OXALATE</t>
  </si>
  <si>
    <t>The Raman microscopic analysis of a cryptoendolithic lichen community in sandstone from East Beacon Ridge, Victoria Land, Antarctica, is described for the first time. The Raman spectra from the crustal, lichen, fungal and accumulation zones were used to assess the strategy adopted by the lichen community under environmentally stressed conditions. Calcium oxalate dihydrate was found only in the upper lichen zone, whereas calcium oxalate monohydrate was found distributed through several zones; this is ascribed to a microenvironmental temperature gradient. The leaching of iron oxide occurs from the crustal surface zone into the accumulation zone. In contradiction with earlier wet chemical destructive analyses of Antarctic cryptoendolithic communities, the presence of calcium carbonate was not confirmed in the lichen or fungal zones. The Raman spectroscopic results mere confirmed by scanning electron microscopic x-ray analysis. (C) 1997 John Wiley &amp; Sons, Ltd.</t>
  </si>
  <si>
    <t>Edwards, HGM (corresponding author), UNIV BRADFORD,BRADFORD BD7 1DP,W YORKSHIRE,ENGLAND.</t>
  </si>
  <si>
    <t>BAFFINS LANE CHICHESTER, W SUSSEX, ENGLAND PO19 1UD</t>
  </si>
  <si>
    <t>0377-0486</t>
  </si>
  <si>
    <t>J RAMAN SPECTROSC</t>
  </si>
  <si>
    <t>J. Raman Spectrosc.</t>
  </si>
  <si>
    <t>Spectroscopy</t>
  </si>
  <si>
    <t>YB793</t>
  </si>
  <si>
    <t>WOS:A1997YB79300007</t>
  </si>
  <si>
    <t>Champagnon, B; Panczer, G; Chazallon, B; Arnaud, L; Duval, P; Lipenkov, V</t>
  </si>
  <si>
    <t>Nitrogen and oxygen guest molecules in clathrate hydrates: Different sites revealed by Raman spectroscopy</t>
  </si>
  <si>
    <t>ICE CORE; SPECTRA</t>
  </si>
  <si>
    <t>N-2 and O-2 hydrates (clathrates) from a polar ice core (Vostok) were analysed by high-sensitivity Raman microspectrometry. Three new lines in the region of the stretching modes of N-2 and O-2 guest molecules were observed and were interpreted by considering both small (5(12)) and large (5(12)6(4)) cages in type II clathrates, isotopic effects and the possibility of double occupancy of the large cages. The isotopic effect for N-2 and O-2 guest molecules in clathrates is demonstrated. (C) 1997 John Wiley &amp; Sons, Ltd.</t>
  </si>
  <si>
    <t>CNRS,LAB GLACIOL &amp; GEOPHYS ENVIRONM,F-38042 ST MARTIN DHER,FRANCE; ARCTIC &amp; ANTARCTIC RES INST,ST PETERSBURG 199226,RUSSIA</t>
  </si>
  <si>
    <t>Centre National de la Recherche Scientifique (CNRS); Arctic &amp; Antarctic Research Institute</t>
  </si>
  <si>
    <t>Champagnon, B (corresponding author), UNIV LYON 1,LAB PHYSICOCHIM MAT LUMINESCENTS,CNRS,UMR 5620,F-69622 VILLEURBANNE,FRANCE.</t>
  </si>
  <si>
    <t>Champagnon, Bernard/A-9642-2013; Lipenkov, Vladimir/Q-8262-2016</t>
  </si>
  <si>
    <t>CHAZALLON, Bertrand/0000-0003-3274-2167; Lipenkov, Vladimir/0000-0003-4221-5440; arnaud, laurent/0000-0002-4432-4205</t>
  </si>
  <si>
    <t>WOS:A1997YB79300010</t>
  </si>
  <si>
    <t>Coren, F; Ceccone, G; Lodolo, E; Zanolla, C; Zitellini, N; Bonazzi, C; Centonze, J</t>
  </si>
  <si>
    <t>Morphology, seismic structure and tectonic development of the Powell Basin, Antarctica</t>
  </si>
  <si>
    <t>Antarctic Peninsula; geophysical surveys; tectonics; rifting</t>
  </si>
  <si>
    <t>MARGINS</t>
  </si>
  <si>
    <t>The Powell Basin, located near the Scotia-Antarctica strike-slip plate boundary, is bounded on three sides by continental crustal blocks, and it separates the South Orkney microcontinent from the northeastern Antarctic Peninsula. On the basis of the entire geophysical data set available, the main structural and geological elements of the basin are identified. The northern domain is characterized by an oceanic-like environment, with a ridge axis in the centre of the basin. Two conjugate deep, restricted sedimentary basins are located at the base of the northeastern and northwestern margins, and filled by thick sedimentary sequences. The southern domain is mainly floored by transitional crust and presents rift-related basement graben. The margins surrounding the basin are different, with the northern and southern margins mainly transcurrent, whereas most of the eastern and western margins show passive margin characteristics. The sedimentary sequences filling the basin have been correlated to the main tectonic processes responsible for Powell Basin opening, and partially dated using marine magnetic anomaly identifications. Three main evolutionary phases are recognized that explain the geological setting of the Powell Basin. An early phase of separation between the Antarctic Peninsula and the South Orkney microcontinent produced stretching and progressive continental lithospheric thinning, with the creation of restricted pull-apart basins (proto-Powell phase). This phase was followed by a northward movement, possibly accomplished with a clockwise rotation, of the South Orkney microcontinent (drift phase), with consequent oceanic crustal accretion in the northern sector of the basin, and development of rift-related structures in the southern sector (phase spanning 27-18 Ma, as determined from the marine magnetic anomalies). A successive clockwise rotation of the South Orkney microcontinent determined the complete development of the northern sector of the basin, with spreading and final structuration of the margins encircling the basin plain.</t>
  </si>
  <si>
    <t>CNR,IST GEOL MARINA,I-40129 BOLOGNA,ITALY</t>
  </si>
  <si>
    <t>Consiglio Nazionale delle Ricerche (CNR); Istituto di Scienze Marine (ISMAR-CNR)</t>
  </si>
  <si>
    <t>Coren, F (corresponding author), OSSERV GEOFIS SPERIMENTALE TRIESTE,POB 2011,I-34016 TRIESTE,ITALY.</t>
  </si>
  <si>
    <t>; Zitellini, Nevio/N-8202-2015</t>
  </si>
  <si>
    <t>LODOLO, Emanuele/0000-0002-4706-2095; COREN, Franco/0000-0002-7160-1001; Zitellini, Nevio/0000-0001-9920-8968</t>
  </si>
  <si>
    <t>10.1144/gsjgs.154.5.0849</t>
  </si>
  <si>
    <t>XT951</t>
  </si>
  <si>
    <t>WOS:A1997XT95100013</t>
  </si>
  <si>
    <t>Dolan, J</t>
  </si>
  <si>
    <t>'South, An Antarctic Journey' - Orsman,C</t>
  </si>
  <si>
    <t>LANDFALL</t>
  </si>
  <si>
    <t>Dolan, J (corresponding author), UNIV OTAGO, DUNEDIN, NEW ZEALAND.</t>
  </si>
  <si>
    <t>UNIV OTAGO PRESS</t>
  </si>
  <si>
    <t>DUNEDIN</t>
  </si>
  <si>
    <t>PO BOX 56, DUNEDIN, NEW ZEALAND</t>
  </si>
  <si>
    <t>0023-7930</t>
  </si>
  <si>
    <t>Landfall</t>
  </si>
  <si>
    <t>FAL</t>
  </si>
  <si>
    <t>Literary Reviews</t>
  </si>
  <si>
    <t>Literature</t>
  </si>
  <si>
    <t>XF310</t>
  </si>
  <si>
    <t>WOS:A1997XF31000049</t>
  </si>
  <si>
    <t>Abele-Oeschger, D; Tug, H; Rottgers, R</t>
  </si>
  <si>
    <t>Dynamics of UV-driven hydrogen peroxide formation on an intertidal sandflat</t>
  </si>
  <si>
    <t>LAKE WATERS; SEA; ADAPTATIONS; OXYGEN; H2O2; ENVIRONMENT; SEAWATER; CARBON</t>
  </si>
  <si>
    <t>Photochemically produced H2O2 was found to accumulate at micromolar concentrations in intertidal Wadden Sea areas. Annual amplitudes of solar radiation lead to variations of the intertidal H2O2 accumulation with concentrations between 1 and 4 mu mol liter(-1) during summer, while winter concentrations were mostly &lt;0.5 mu mol liter(-1). Diurnal variations of H2O2 accumulation over daily low-tide periods in intertidal environments are determined by the incident solar radiation, the concentration of UV-absorbing dissolved organic carbon in the water, as well as the concomitant biological and chemical H2O2 degradation within the sediment surface. The efficiency of photosynthetic available radiation (PAR), UVA and UVB photons for photochemical H2O2 production was assessed using cut-off filters in the UVB and in different UVA ranges. UVB photons (295-320 nm) displayed an 11-fold higher efficiency compared to UVA (335-370 nm) and a 340-fold higher efficiency compared to PAR photons (&gt;400 nm). A 10% ozone reduction leads to a doubling of UVB surface irradiance at 300 nm, which entails a 30 and 40% increase of the apparent intertidal H2O2 concentrations. Progressive stratospheric ozone depletion via UVB-induced H2O2 formation will have yet unpredictable effects on boreal and Antarctic intertidal ecosystems.</t>
  </si>
  <si>
    <t>Alfred Wegener Inst Polar &amp; Marine Res, D-27568 Bremerhaven, Germany</t>
  </si>
  <si>
    <t>Abele-Oeschger, D (corresponding author), Alfred Wegener Inst Polar &amp; Marine Res, Columbusstr, D-27568 Bremerhaven, Germany.</t>
  </si>
  <si>
    <t>Abele, Doris/0000-0002-5766-5017</t>
  </si>
  <si>
    <t>1939-5590</t>
  </si>
  <si>
    <t>10.4319/lo.1997.42.6.1406</t>
  </si>
  <si>
    <t>YW217</t>
  </si>
  <si>
    <t>WOS:000071910200010</t>
  </si>
  <si>
    <t>McGinnis, JP; Hayes, DE; Driscoll, NW</t>
  </si>
  <si>
    <t>Sedimentary processes across the continental rise of the southern Antarctic Peninsula</t>
  </si>
  <si>
    <t>Antarctic Peninsula; continental rise; glacial marine sediments; paleoceanography; margin sedimentation; sediment mounds</t>
  </si>
  <si>
    <t>PACIFIC MARGIN; WEDDELL SEA; TRANSPORT; FAN</t>
  </si>
  <si>
    <t>A series of large sediment mounds have been identified along the Pacific portion of the Antarctic Peninsula continental rise. These mounds are composed of sediment delivered to the continental rise during the advance and retreat of grounded ice across the shelf. The stratigraphic development of one of these sediment deposits, the Tula sediment mound, is examined to investigate how the onset of glaciation influenced the deep-sea depositional environment along this portion of the margin. The stratal relationships, associated facies distribution, and the physiography observed along the southern Antarctic margin reflect the waxing, and waning of the Antarctic ice sheets; various processes erode, transport, and deposit sediment along the outer shelf, slope, and rise throughout a glacial cycle. A deep-sea erosional unconformity is apparent at the base of the Tula deposit. This surface may reflect the first onset of intensified bottom water circulation along the margin perhaps induced by the tectonic opening of the Drake Passage. The Tula sediment mound is comprised predominantly of canyon/overbank systems. Evidence for the onset of canyon cutting and the development of the thick overbank deposits (&gt;2 km) is found immediately above the deepsea erosional unconformity. Relating increased canyon cutting across the continental rise to the fluctuation of ice across the shelf implies that the onset of predominantly glacial conditions commenced soon after the onset of intensified bottom water circulation along this margin. The volume of sediment associated with the Tula deposit and the apparent 'point source' distribution of the channel systems suggests that much sediment was transported to the slope and rise perhaps by meltwater processes through these canyons. (C) 1997 Elsevier Science B.V.</t>
  </si>
  <si>
    <t>COLUMBIA UNIV,LAMONT DOHERTY EARTH OBSERV,DEPT EARTH SCI,PALISADES,NY 10964; AMERADA HESS CORP,HOUSTON,TX 77002; WOODS HOLE OCEANOG INST,WOODS HOLE,MA 02543</t>
  </si>
  <si>
    <t>Columbia University; Hess Corporation; Woods Hole Oceanographic Institution</t>
  </si>
  <si>
    <t>10.1016/S0025-3227(97)00056-X</t>
  </si>
  <si>
    <t>YD464</t>
  </si>
  <si>
    <t>WOS:A1997YD46400007</t>
  </si>
  <si>
    <t>Tribaudino, M; Fioretti, AM; Martignago, F; Molin, G</t>
  </si>
  <si>
    <t>Transmission electron microscope texture and crystal chemistry of coexisting ortho- and clinopyroxene in the Antarctic ureilite Frontier Mountain 90054: Implications for thermal history</t>
  </si>
  <si>
    <t>ORTHO-PYROXENE; STRUCTURE-REFINEMENT; ULTRAMAFIC NODULES; ORDER-DISORDER; MINERALOGY; DIOPSIDE; SYSTEM; AUGITE; MICROSTRUCTURE; CONSTRAINTS</t>
  </si>
  <si>
    <t>Frontier Mountain (FRO) 90054, from Antarctica, is a rare clino- and orthopyroxene-bearing ureilite with a coarse equigranular oriented texture (grains up to 3 mm); it is classified as a low-shock Ca-rich type. The crystal chemistry of its clinopyroxene (Wo(39.3)En(54.6)Fs(6.1)), orthopyroxene (En(84.2)Fs(11)Wo(4.8)) and olivine (Fa(12.6)Fo(86.9)) was investigated by single-crystal x-ray structural refinements and transmission electron microscope (TEM) observations to obtain data on the evolutionary history of the parent body. The M1 octahedron and unit cell volumes of the orthopyroxene and clinopyroxene are consistent with low-pressure crystallization. The closure temperatures for intracrystalline Mg-Fe2+ ordering yielded values of 674 degrees C and 804 degrees C for opx and 596 degrees C for cpx, which indicate high-temperature equilibration and fast cooling. Trasmission electron microscope investigations were performed on clinopyroxene, orthopyroxene and pigeonite. The (100) twin lamellae in the clinopyroxene and intergrowth of clino- and orthoenstatite lamellae in orthopyroxene most probably originated by deformation. Exsolution was not observed in any of the phases, which suggests rapid cooling. Analysis by TEM also revealed interstitial Na-rich glass and pigeonite with sharp h+k odd reflections and rare stacking faults parallel to (100). Textural and crystal chemical data, obtained by TEM, indicated rapid cooling that was probably due to fast radiative heat loss as a result of the disintegration of the parent body into small fragments, which subsequently reassembled into a larger body. One or more collisional events caused fine-scale stacking faults and partial melting.</t>
  </si>
  <si>
    <t>DIPARTIMENTO MINERAL &amp; PETROL,I-35122 PADUA,ITALY; DIPARTIMENTO SCI MINERAL &amp; PETROL,I-10125 TURIN,ITALY; CNR,CTR STUDIO GEODINAM ALPINA,I-35122 PADUA,ITALY</t>
  </si>
  <si>
    <t>Tribaudino, Mario/AAF-9164-2019; Tribaudino, Mario/ISR-8817-2023</t>
  </si>
  <si>
    <t>Tribaudino, Mario/0000-0003-4941-2914; Tribaudino, Mario/0000-0003-4941-2914</t>
  </si>
  <si>
    <t>10.1111/j.1945-5100.1997.tb01551.x</t>
  </si>
  <si>
    <t>XX828</t>
  </si>
  <si>
    <t>WOS:A1997XX82800008</t>
  </si>
  <si>
    <t>Vayda, ME; Small, DJ; Yuan, ML; Costello, L; Sidell, BD</t>
  </si>
  <si>
    <t>Conservation of the myoglobin gene among Antarctic notothenioid fishes</t>
  </si>
  <si>
    <t>MOLECULAR MARINE BIOLOGY AND BIOTECHNOLOGY</t>
  </si>
  <si>
    <t>CHANNICHTHYS-RHINOCERATUS; SKELETAL-MUSCLE; MESSENGER-RNAS; OXYGEN; CLONING; EVOLUTION; ALIGNMENT; SEQUENCES; DIFFUSION; CLUSTAL</t>
  </si>
  <si>
    <t>We determined the myoglobin cDNA sequence for seven Antarctic notothenioid fish species. These data identify mutations in the myoglobin gene for Champsocephalus gunnari and Pagetopsis macropterus, two icefish species that lack detectable quantities of the polypeptide but express myoglobin mRNA. A third species lacking myoglobin polypeptide, Chaenocephalus aceratus, is devoid of myoglobin mRNA and accordingly failed to produce myoglobin products on polymerase chain reaction (PCR) amplification. Myoglobin cDNA sequences were highly conserved among the species that express the protein, particularly in the coding region. Sequence variation among the myoglobin-expressing channichthyid species was 2.0% to 2.9% in the coding region and 2.6% to 3.3% over the entire cDNA. The same extent of variation, 1.6% to 3.2% in the coding sequence and 2.8% to 3.7% overall, was observed between the icefishes and more distantly related, red-blooded nototheniid species. The two species expressing mutant myoglobin mRNA, C. gunnari and P. macropterus, exhibited the highest degree of sequence variation among the fish myoglobins examined. Drift of the myoglobin sequence in these two species, and conservation of myoglobin cDNA among fishes from two distinct families, suggest that a selective pressure operates to maintain myoglobin in the species that express the protein.</t>
  </si>
  <si>
    <t>UNIV MAINE,SCH MARINE SCI,ORONO,ME 04469; UNIV MAINE,DEPT ZOOL,ORONO,ME 04469</t>
  </si>
  <si>
    <t>University of Maine System; University of Maine Orono; University of Maine System; University of Maine Orono</t>
  </si>
  <si>
    <t>Vayda, ME (corresponding author), UNIV MAINE,DEPT BIOCHEM MICROBIOL &amp; MOL BIOL,ORONO,ME 04469, USA.</t>
  </si>
  <si>
    <t>BLACKWELL SCIENCE INC</t>
  </si>
  <si>
    <t>350 MAIN ST, MALDEN, MA 02148</t>
  </si>
  <si>
    <t>1053-6426</t>
  </si>
  <si>
    <t>MOL MAR BIOL BIOTECH</t>
  </si>
  <si>
    <t>Mol. Mar. Biol. Biotechnol.</t>
  </si>
  <si>
    <t>XT506</t>
  </si>
  <si>
    <t>WOS:A1997XT50600007</t>
  </si>
  <si>
    <t>Weinstein, RN; Palm, ME; Johnstone, K; WynnWilliams, DD</t>
  </si>
  <si>
    <t>Ecological and physiological characterization of Humicola marvinii, a new psychrophilic fungus from fellfield soils in the maritime Antarctic</t>
  </si>
  <si>
    <t>MYCOLOGIA</t>
  </si>
  <si>
    <t>Antarctica; extreme environments; Hyphomycetes; microbial ecology; systematics</t>
  </si>
  <si>
    <t>CRYOPROTECTANTS</t>
  </si>
  <si>
    <t>Fungi were isolated from fellfield soils at Signy Island (60 degrees 43' S, 45 degrees 38' W) in the maritime Antarctic between December 1994 and February 1995 in order to study their role in colonization processes. A psychrophilic species of Humicola was isolated that differs physiologically and morphologically from Humicola fuscoatra, to which it bears a resemblance. Based on these characteristics it is described herein as a new species, Humicola marvinii.</t>
  </si>
  <si>
    <t>USDA,APHIS,SYSTEMAT BOT &amp; MYCOL LAB,BELTSVILLE,MD 20705; BRITISH ANTARCTIC SURVEY,NERC,CAMBRIDGE CB3 0ET,ENGLAND</t>
  </si>
  <si>
    <t>United States Department of Agriculture (USDA); UK Research &amp; Innovation (UKRI); Natural Environment Research Council (NERC); NERC British Antarctic Survey</t>
  </si>
  <si>
    <t>Weinstein, RN (corresponding author), UNIV CAMBRIDGE,DEPT PLANT SCI,DOWNING ST,CAMBRIDGE CB2 3EA,ENGLAND.</t>
  </si>
  <si>
    <t>NEW YORK BOTANICAL GARDEN</t>
  </si>
  <si>
    <t>BRONX</t>
  </si>
  <si>
    <t>PUBLICATIONS DEPT, BRONX, NY 10458</t>
  </si>
  <si>
    <t>0027-5514</t>
  </si>
  <si>
    <t>Mycologia</t>
  </si>
  <si>
    <t>10.2307/3761126</t>
  </si>
  <si>
    <t>Mycology</t>
  </si>
  <si>
    <t>YA889</t>
  </si>
  <si>
    <t>WOS:A1997YA88900003</t>
  </si>
  <si>
    <t>The pteridophyte Ashicaulis livingstonensis (Osmundaceae) from the upper Cretaceous of Williams point, Livingston island, Antarctica</t>
  </si>
  <si>
    <t>NEW ZEALAND JOURNAL OF GEOLOGY AND GEOPHYSICS</t>
  </si>
  <si>
    <t>Pteridophyte; Osmundaceae; Antarctica; Cretaceous</t>
  </si>
  <si>
    <t>TRIASSIC FLORA; SOUTH SHETLAND; DIPTERID FERNS</t>
  </si>
  <si>
    <t>The presence of Ashicaulis livingstonensis sp. nov. in the Upper Cretaceous Williams Point Beds of Livingston Island, Antarctica, represents an important new record of the Osmundaceae in the southern high latitudes. It extends the range of Ashicaulis to the Late Cretaceous. Ashicaulis livingstonensis sp. nov. comprises a small stem surrounded by a mantle of petiole bases and roots. Leaf gaps are narrow, rapidly closing, or occasionally incomplete, and the stem is best regarded as ectophloic siphonostele. The anatomy of Ashicaulis livingstonensis suggests an erect, probably mound-forming fern.</t>
  </si>
  <si>
    <t>Cantrill, DJ (corresponding author), BRITISH ANTARCTIC SURVEY,NERC,MADINGLEY RD,HIGH CROSS,CAMBRIDGE CB3 0ET,ENGLAND.</t>
  </si>
  <si>
    <t>0028-8306</t>
  </si>
  <si>
    <t>NEW ZEAL J GEOL GEOP</t>
  </si>
  <si>
    <t>N. Z. J. Geol. Geophys.</t>
  </si>
  <si>
    <t>10.1080/00288306.1997.9514764</t>
  </si>
  <si>
    <t>Geology; Geosciences, Multidisciplinary</t>
  </si>
  <si>
    <t>YA207</t>
  </si>
  <si>
    <t>WOS:A1997YA20700006</t>
  </si>
  <si>
    <t>Goldin, AY; Koshlyakov, MN</t>
  </si>
  <si>
    <t>Climatic variability of deep waters in the Pacific Antarctic</t>
  </si>
  <si>
    <t>The data of the WOCE section carried out in 1992 along 67S in the eastern part of the Pacific Antarctic are compared with the climatic data with the purpose to find possible climatic variability of temperature and salinity of deep ocean waters. The detailed data analysis revealed Lower Antarctic Circumpolar Deep Water's (LAACDW) potential temperature decrease of 0.03 degrees C in 1992 in comparison with its average climatic value. The temperature anomaly ontained is in good agreement with the one known from publications [2, 6] - climatic variability of temperature of North-Atlantic deep water, which is the main source of LAACDW. The temperature of Antarctic Bottom Water (AABW) turned out to be equal to its average climatic value in 1992. The salinity decrease of 0.001-0.002 psu obtained for LAACDW and AABW in 1992 in comparison with its average climatic values is possibly due to some methodical reasons.</t>
  </si>
  <si>
    <t>PP Shirshov Oceanol Inst, Moscow, Russia</t>
  </si>
  <si>
    <t>Russian Academy of Sciences; Shirshov Institute of Oceanology</t>
  </si>
  <si>
    <t>Goldin, AY (corresponding author), PP Shirshov Oceanol Inst, Moscow, Russia.</t>
  </si>
  <si>
    <t>YF404</t>
  </si>
  <si>
    <t>WOS:000060362500001</t>
  </si>
  <si>
    <t>Kindler, P; Davaud, E; Strasser, A</t>
  </si>
  <si>
    <t>Tyrrhenian coastal deposits from Sardinia (Italy): a petrographic record of high sea levels and shifting climate belts during the last interglacial (isotopic substage 5e)</t>
  </si>
  <si>
    <t>Sardinia; Late Pleistocene; Tyrrhenian; sedimentary petrology; eustacy; paleoclimatology</t>
  </si>
  <si>
    <t>ANTARCTIC ICE-SURGE; NEW-GUINEA; BAHAMAS; BERMUDA; PERIOD; OCEAN; BASIN; FLUCTUATIONS; LIMESTONES; CHRONOLOGY</t>
  </si>
  <si>
    <t>Detailed petrographic and sedimentological analysis of Tyrrhenian coastal deposits from four sites in Sardinia provides new data about climate and sea-level changes during the early part of the last interglacial (isotopic substage 5e) and shows that facies analysis is not only useful for the identification of ancient depositional environments, but also represents a powerful tool for evaluating past climatic conditions and sea-level forcing mechanisms. Two shallowing-upward sequences (sensu Ward, W.C., Brady, M.J., 1979. Strandline sedimentation of carbonate grainstones, Upper Pleistocene, Yucatan Peninsula, Mexico. Am. Assoc. Pet. Geol. Bull. 63, 362-369), commonly separated by an erosion surface and displaying complex geometric relationships, occur above modern sea level at several locations along the shorelines of Sardinia. These sequences include upper shoreface to backshore deposits and were formed during separate sea-level highstands attributed to isotopic substage 5e. Our recent revision of these deposits indicates that each sequence presents distinctive petrographic characteristics. The older succession essentially contains mixed calcarenites, rich in quartz grains and lithic fragments, whereas the younger sediments are dominated by carbonate bioclasts such as red algae, coral and mollusk fragments. Both units apparently accumulated in a similar depositional setting, but during different climatic regimes. The petrography of the lower unit reflects a temperate-humid period characterized by increased weathering and continental erosion, whereas the composition of the upper one suggests a dryer, and possibly warmer, climate favoring active carbonate production. The disparity in petrographic composition between sequences probably records the migration of atmospheric circulation cells, i.e. a shift of climate belts, before and after the similar to 128-ka insolation maximum. Our climatic data are coherent with the calculated insolation curves for isotopic substage 5e and thus support the Milankovitch hypothesis for the origin of Pleistocene climates. In contrast, our sedimentological data clearly show the occurrence of two distinctive highstands of sea level during this time period, which does not agree with the hypothesis. It follows that the relation between orbitally induced insolation variations, climate and sea level is not necessarily straightforward. (C) 1997 Elsevier Science B.V.</t>
  </si>
  <si>
    <t>UNIV FRIBOURG,INST GEOL,CH-1700 FRIBOURG,SWITZERLAND</t>
  </si>
  <si>
    <t>University of Fribourg</t>
  </si>
  <si>
    <t>Kindler, P (corresponding author), UNIV GENEVA,DEPT GEOL &amp; PALEONTOL,CH-1211 GENEVA 4,SWITZERLAND.</t>
  </si>
  <si>
    <t>10.1016/S0031-0182(97)00028-X</t>
  </si>
  <si>
    <t>YB835</t>
  </si>
  <si>
    <t>WOS:A1997YB83500001</t>
  </si>
  <si>
    <t>Weykam, G; Thomas, DN; Wiencke, C</t>
  </si>
  <si>
    <t>Weykam, G.; Thomas, D. N.; Wiencke, C.</t>
  </si>
  <si>
    <t>Growth and photosynthesis of the Antarctic red algae Palmaria decipiens (Palmariales) and Iridaea cordata (Gigartinales) during and following extended periods of darkness</t>
  </si>
  <si>
    <t>PHYCOLOGIA</t>
  </si>
  <si>
    <t>Physiological and developmental responses during and following long-term exposure to darkness were investigated in the Antarctic red algae Palmaria decipiens (Reinsch) Ricker and Iridaea cordata (Turner) Bury. Thalli were kept in darkness for a period of 6 mo, simulating winter sea ice cover. Subsequently, they were grown illuminated under seasonally fluctuating Antarctic daylengths. During darkness, P. decipiens, an Antarctic endemic, rapidly lost its ability to photosynthesize although chlorophyll a content remained fairly constant. The amount of floridean starch decreased gradually in the dark, with a sudden drop simultaneous with the development of new blades. After reexposure to light there was a rapid increase in photosynthetic oxygen production, whereas the rate of carbon assimilation increased more slowly, resulting in high apparent photosynthetic quotients. The increase in growth rate showed a close relation to carbon assimilation, suggesting that carbon is utilized first for growth, then for floridean starch accumulation. In contrast to P. decipiens, the photosynthetic rate of the Antarctic cold-temperate L cordata was still about half of the initial rate after a dark period of 6 mo, i.e. the alga maintained functionality of its photosynthetic apparatus during winter. After reexposure to light there was a continuous increase in specific growth rate due to increasing photosynthetic activity. Iridaea cordata also accumulated floridean starch during summer, although in smaller amounts than P. decipiens. Together with the ability to photosynthesize, starch accumulation facilitates survival during extended dark periods in winter. The early development of blade initials and the rapid increase in photosynthetic capability after illumination may permit P. decipiens to use the period of high water transparency optimally in Antarctic spring. Iridaea cordata seems better able to survive prolonged dark periods in areas with less predictable light conditions. Both physiological patterns are well suited to the highly seasonal light conditions in Antarctica.</t>
  </si>
  <si>
    <t>Alfred Wegener Inst Polar &amp; Meeresforschung, D-27515 Bremerhaven, Germany; Univ Wales Bangor, Sch Ocean Sci, Menai Bridge LL59 5EY, Gwynedd, Wales</t>
  </si>
  <si>
    <t>Helmholtz Association; Alfred Wegener Institute, Helmholtz Centre for Polar &amp; Marine Research; Bangor University</t>
  </si>
  <si>
    <t>Wiencke, C (corresponding author), Alfred Wegener Inst Polar &amp; Meeresforschung, Postfach 120161, D-27515 Bremerhaven, Germany.</t>
  </si>
  <si>
    <t>cwiencke@awi-bremerhaven.de</t>
  </si>
  <si>
    <t>Thomas, David Neville/B-1448-2010</t>
  </si>
  <si>
    <t>Thomas, David Neville/0000-0001-8832-5907</t>
  </si>
  <si>
    <t>INT PHYCOLOGICAL SOC</t>
  </si>
  <si>
    <t>NEW BUSINESS OFFICE, PO BOX 1897, LAWRENCE, KS 66044-8897 USA</t>
  </si>
  <si>
    <t>0031-8884</t>
  </si>
  <si>
    <t>Phycologia</t>
  </si>
  <si>
    <t>10.2216/i0031-8884-36-5-395.1</t>
  </si>
  <si>
    <t>V43TQ</t>
  </si>
  <si>
    <t>WOS:000202957800008</t>
  </si>
  <si>
    <t>Effects of food availability on fledging condition and post-fledging survival in king penguin chicks</t>
  </si>
  <si>
    <t>APTENODYTES-PATAGONICA; POSTFLEDGING SURVIVAL; NESTLING WEIGHT; CROZET-ISLANDS; HATCHING DATE; URIA-AALGE; GROWTH; DIET</t>
  </si>
  <si>
    <t>Effects of summer food shortage on king penguin Aptenodytes patagonicus chicks were studied at South Georgia. Two cohorts were compared, fledging in the austral summers of 1992 (n = 32) and 1994 (n = 33) when availability of food was judged good and poor, respectively. The former cohort had a higher pre-fledging mean mass (12.78 kg vs less than or equal to 10.03 kg), fledged earlier (median 5 January vs 21 January), and a higher proportion was re-sighted within 2 years of hedging (28% vs 0%). Within 4 years, 47% of the former cohort had been re-sighted (i.e, post-hedge survival); in addition, one was observed at the Falkland Islands, and 22% had bred (i.e, recruitment) in their colony of origin. The re-sighted chicks of the 1992 cohort fledged earlier than those not re-sighted (median 24 December vs 10 January), but it remain unclear if they were heavier at fledging. All chicks in this study (n = 65) were marked with both transponders (subcutaneously implanted) and flipper bands (on one flipper), and no losses of any markings were found (controlled up to 4 years afterwards). Therefore, data on chick post-fledging survival and recruitment were not adjusted for losses of markings, as has been done in other studies.</t>
  </si>
  <si>
    <t>BRITISH ANTARCTIC SURVEY,CAMBRIDGE CB3 0ET,ENGLAND; UNIV STOCKHOLM,DEPT ZOOL,S-10691 STOCKHOLM,SWEDEN</t>
  </si>
  <si>
    <t>10.1007/s003000050172</t>
  </si>
  <si>
    <t>XR398</t>
  </si>
  <si>
    <t>WOS:A1997XR39800001</t>
  </si>
  <si>
    <t>Todd, CM</t>
  </si>
  <si>
    <t>Respiratory metabolism in two species of carabid beetle from the sub-Antarctic island of South Georgia</t>
  </si>
  <si>
    <t>COLEOPTERA; HABITATS; ALPINE</t>
  </si>
  <si>
    <t>The influence of feeding state on cold-adapted metabolism was investigated in the adults of two carabid beetles, Trechisibus antarcticus and Oopterus soledadinus (Coleoptera: Carabidae), which have been introduced to sub-Antarctic South Georgia. The metabolic rates in both fed and starved O. soledadinus and T. antarcticus were determined at eight temperatures ranging from 0 to 35 degrees C, using a Servomex 570A oxygen analyser. There was no significant difference in the metabolic rates between the fed and starved animals of each species. In T. antarcticus this ranged from 0.28 to 3.84 mi O-2 g(-1) h(-1), and in O. soledadinus from 0.19 to 2.80 mi O-2 g(-1) h(-1) at 0 and 35 degrees C, respectively. In each of the four experimental groups there was a strong positive correlation between metabolic rate and temperature, with the highest increase occurring between O and 5 degrees C. In contrast, the metabolic rate was significantly negatively correlated with initial live weight of the beetles at most temperatures. The results are discussed comparatively with other species and against a background of the ecology of the two carabids at South Georgia.</t>
  </si>
  <si>
    <t>Todd, CM (corresponding author), BRITISH ANTARCTIC SURVEY,NERC,HIGH CROSS,MADINGLEY RD,CAMBRIDGE CB3 0ET,ENGLAND.</t>
  </si>
  <si>
    <t>10.1007/s003000050173</t>
  </si>
  <si>
    <t>WOS:A1997XR39800002</t>
  </si>
  <si>
    <t>Pakhomov, EA; Verheye, HM; Atkinson, A; Laubscher, RK; TauntonClark, J</t>
  </si>
  <si>
    <t>Structure and grazing impact of the mesozooplankton community during late summer 1994 near South Georgia, Antarctica</t>
  </si>
  <si>
    <t>DIEL VERTICAL MIGRATION; GUT CLEARANCE; ZOOPLANKTON; COPEPOD; PIGMENT; WINTER; RATES; OCEAN; SIZE; SELECTIVITY</t>
  </si>
  <si>
    <t>Mesozooplankton abundance, community structure and grazing impact were determined during late austral summer (February/March) 1994 at eight oceanic stations near South Georgia using samples collected with a Bongo and WP-2 nets in the upper 200-m and 100-m layer, respectively. The zooplankton abundance was generally dominated by copepodite stages C3-C5 of six copepod species: Rhincalanus gigas, Calanus simillimus, Calanoides acutus, Metridia spp., Clausocalanus laticeps and Ctenocalanus vanus. Most copepods had large lipid sacs. All copepods accounted for 41-98% of total zooplankton abundance. Juvenile euphausiids were the second most important component contributing between 1 and 20% of total abundance. Pteropods, mainly Limacina inflata, were important members of the pelagic community at two sites? accounting for 44 and 53% of total abundance. Average mesozooplankton biomass in the upper 200 m was 8.0 g dry weight m(-2), ranging from 4.3 to 11.5 g dry weight m(-2). With the exception of Calanus simillimus, gut pigment contents and feeding activity of copepod species were low, suggesting that some species, after having stored large lipid reserves, had probably started undergoing developmental arrest. Daily mesozooplankton grazing impact, measured using in situ gut fluorescence techniques and in vitro incubations, varied widely from &lt;1 to 8% (mean 3.5%) of phytoplankton standing stock, and from 5 to 102% (mean 36%) of primary production. The highest grazing impact was found northeast of the island co-incident with the lowest phytoplankton biomass and primary production levels.</t>
  </si>
  <si>
    <t>SEA FISHERIES RES INST,ZA-8012 CAPE TOWN,SOUTH AFRICA; BRITISH ANTARCTIC SURVEY,NERC,CAMBRIDGE CB3 0ET,ENGLAND</t>
  </si>
  <si>
    <t>Pakhomov, EA (corresponding author), RHODES UNIV,DEPT ZOOL &amp; ENTOMOL,SO OCEAN GRP,POB 94,ZA-6140 GRAHAMSTOWN,SOUTH AFRICA.</t>
  </si>
  <si>
    <t>10.1007/s003000050175</t>
  </si>
  <si>
    <t>WOS:A1997XR39800004</t>
  </si>
  <si>
    <t>Lecointre, G; Bonillo, C; OzoufCostaz, C; Hureau, JC</t>
  </si>
  <si>
    <t>Molecular evidence for the origins of Antarctic fishes: paraphyly of the Bovichtidae and no indication for the monophyly of the Notothenioidei (Teleostei)</t>
  </si>
  <si>
    <t>RIBOSOMAL-RNA; DNA; PHYLOGENIES; SEQUENCES; CONFIDENCE; POLYMERASE; BOOTSTRAP; PISCES; TREES</t>
  </si>
  <si>
    <t>The notothenioids are an Antarctic suborder of perciform fishes to which increasing interest is being devoted. To investigate their origin, one must address two questions. First, are Bovichtidae (Bovichtus, Cottoperca, Pseudaphritis), the sister-group of the rest of the suborder, monophyletic ? Secondly, what is the sister-group of the Notothenioidei ? These questions were addressed by determining the complete nucleotide sequence of the D2 and D8 domains of 28S rDNA (759 sites, among which 158 informative for parsimony), for 6 notothenioids and a collection of 6 outgroup taxa including the Trachinoidei and Zoarcoidei. Different outgroups (or combinations of outgroups) and different weighting schemes support the inference that Pseudaphritis is closer to the rest of the Notothenioidei than Cottoperca and Bovichtus are. Relationships of Cottoperca and Bovichtus remain unclear with respect to outgroups. Our molecular data therefore clearly show that the Bovichtidae are paraphyletic, but their relationships are not those suggested by Balushkin in 1992. Our data provide no indication of the monophyly of the Notothenioidei in its classical sense. Most of the homoplasy is due to outgroup sequences and interrelationships of outgroups are unresolved. Some morphological synapomorphies shared by Pseudaphritis and the rest of the non-bovichtid Notothenioidei are proposed, including some that were identified by Voskoboynikova in 1993.</t>
  </si>
  <si>
    <t>MUSEUM NATL HIST NAT, SERV COMMUN SYSTEMAT MOL MUSEUM, ICHTYOL GEN &amp; APPL LAB, GDR CNRS 1005, F-75231 PARIS 05, FRANCE.</t>
  </si>
  <si>
    <t>10.1007/s003000050176</t>
  </si>
  <si>
    <t>WOS:A1997XR39800005</t>
  </si>
  <si>
    <t>Scapigliati, G; Chausson, F; Cooper, EL; Scalia, D; Mazzini, M</t>
  </si>
  <si>
    <t>Qualitative and quantitative analysis of serum immunoglobulins of four Antarctic fish species</t>
  </si>
  <si>
    <t>TELEOST FISH; ANTIBODY</t>
  </si>
  <si>
    <t>Immunoglobulins from the Antarctic fish species Trematomus bernacchii, Trematomus hansoni, Trematomus newnesi, and Chionodraco hamatus were analysed in whole serum and after purification by affinity chromatography on protein A-sepharose. Using SDS-PAGE, the apparent masses of the heavy and light chains were, respectively, 83.5 kDa and 27.5 kDa for T. bernacchii, 83.5 kDa and 27 kDa for T. hansoni, 81 kDa and 27.5 kDa for T. newnesi, and 74.5 kDa and 30 kDa for C. hamatus. It was not possible to purify immunoglobulins from T. newnesi due to their low concentration in serum. Heterogeneity in mass of both heavy and light chains was observed in all species. By using a polyclonal antibody raised against sea bass immunoglobulins, cross-reactivity was observed with heavy and light chains of all species. With this antibody, an indirect enzyme-linked immunosorbent assay (ELISA) was developed and results showed the relative immunoglobulin concentration in sera of the Antarctic fish species considered? using as standard sea bass immunoglobulins.</t>
  </si>
  <si>
    <t>UNIV CALIF LOS ANGELES,DEPT ANAT &amp; CELL BIOL,LOS ANGELES,CA 90024</t>
  </si>
  <si>
    <t>University of California System; University of California Los Angeles</t>
  </si>
  <si>
    <t>Scapigliati, G (corresponding author), UNIV TUSCIA,DIPARTIMENTO SCI AMBIENTALI,I-01100 VITERBO,ITALY.</t>
  </si>
  <si>
    <t>10.1007/s003000050177</t>
  </si>
  <si>
    <t>WOS:A1997XR39800006</t>
  </si>
  <si>
    <t>Bengtson, JL; Stewart, BS</t>
  </si>
  <si>
    <t>Diving patterns of a Ross seal (Ommatophoca rossii) near the eastern coast of the Antarctic Peninsula</t>
  </si>
  <si>
    <t>AEROBIC DIVE LIMIT; WEDDELL SEALS; OXYGEN STORES</t>
  </si>
  <si>
    <t>In January 1987 we documented the diving patterns of a female Ross seal (Ommatophoca rossii) in the marginal pack-ice zone near the eastern coast of the Antarctic Peninsula for 2 days using a microprocessor-based time-depth recorder. The seal hauled out during the day and dived continually when in the water at night. Dives averaged 110 m deep and 6.4 min long; the deepest dive was 212 m and the longest 9.8 min. Dives were deepest near twilight and shallowest at night; this pattern suggests that the seal's prey, presumably midwater squid and fish, may have been making vertical migrations or changing predator-avoidance behavior in response to diel light patterns. The dives of this Ross seal were substantially deeper, on average, than those of crabeater seals (Lobodon carcinophagus), which forage in the same areas on Antarctic krill (Euphausia superba).</t>
  </si>
  <si>
    <t>HUBBS SEA WORLD RES INST,SAN DIEGO,CA 92109</t>
  </si>
  <si>
    <t>Bengtson, JL (corresponding author), NOAA,NATL MARINE FISHERIES SERV,ALASKA FISHERIES SCI CTR,NATL MARINE MAMMAL LAB,SEATTLE,WA 98115, USA.</t>
  </si>
  <si>
    <t>10.1007/s003000050178</t>
  </si>
  <si>
    <t>WOS:A1997XR39800007</t>
  </si>
  <si>
    <t>Casaux, R; Coria, N; BarreraOro, E</t>
  </si>
  <si>
    <t>Fish in the diet of the Antarctic shag Phalacrocorax bransfieldensis at Laurie Island, South Orkney Islands</t>
  </si>
  <si>
    <t>BLUE-EYED SHAG; ATRICEPS-BRANSFIELDENSIS</t>
  </si>
  <si>
    <t>The analysis of 29 stomach contents collected from a colony close to Pirie Peninsula, South Orkney Islands, from 2 January to 18 February 1995, showed that fish were by far the most important prey of the Antarctic shag Phalacrocorax bransfieldensis, followed by octopods, decapods and gammarids. The fish Notothenia coriiceps constituted the bulk of the diet; however, its importance decreased by the end of the study when Lepidonotothen nudifrons was the most important prey. The composition of the stomach contents varied throughout the breeding season according to changes in the chicks' energetic demands; as chicks grew older the adults increased the mass of the loads carried to the nests, preying on larger fish, a phenomenon also observed at the South Shetland Islands.</t>
  </si>
  <si>
    <t>Casaux, R (corresponding author), INST ANTARTICO ARGENTINO,CERRITO 1248,RA-1010 BUENOS AIRES,DF,ARGENTINA.</t>
  </si>
  <si>
    <t>10.1007/s003000050179</t>
  </si>
  <si>
    <t>WOS:A1997XR39800008</t>
  </si>
  <si>
    <t>Gollasch, S</t>
  </si>
  <si>
    <t>Planktonic ostracods (Crustacea) along the coasts of the South Shetland Islands King George and Elephant (Antarctic Ocean) during spring season 1994</t>
  </si>
  <si>
    <t>WESTERN WEDDELL SEA; ZOOPLANKTON COMMUNITY; ICE; PENINSULA; VICINITY</t>
  </si>
  <si>
    <t>Ostracod samples were taken from coastal waters of the South Shetland Islands (King George and Elephant) northeast of the Antarctic Peninsula. The population structure of the planktonic ostracods in the upper 200-m water column is described. In total 77 samples were taken quantitatively by RMT-1 hauls predominantly containing Alacia hettacra, A. belgicae and Metaconchoecia isocheira. The dominance of A2, Al and adult stages supports Kock's conclusion of an upward-directed ontogenetic migration.</t>
  </si>
  <si>
    <t>UNIV HAMBURG,MUSEUM,D-0146 HAMBURG,GERMANY</t>
  </si>
  <si>
    <t>Gollasch, S (corresponding author), UNIV HAMBURG,INST ZOOL,MARTIN LUTHER KING PL 3,D-0146 HAMBURG,GERMANY.</t>
  </si>
  <si>
    <t>Gollasch, Stephan/0000-0003-4410-6969</t>
  </si>
  <si>
    <t>10.1007/s003000050180</t>
  </si>
  <si>
    <t>WOS:A1997XR39800009</t>
  </si>
  <si>
    <t>Joyner, CC</t>
  </si>
  <si>
    <t>International environmental politics: Protecting the Antarctic</t>
  </si>
  <si>
    <t>POLITICS AND THE LIFE SCIENCES</t>
  </si>
  <si>
    <t>Georgetown Univ, Dept Govt, Washington, DC 20057 USA</t>
  </si>
  <si>
    <t>Joyner, CC (corresponding author), Georgetown Univ, Dept Govt, Washington, DC 20057 USA.</t>
  </si>
  <si>
    <t>BEECH TREE PUBLISHING</t>
  </si>
  <si>
    <t>GUILDFORD</t>
  </si>
  <si>
    <t>10 WATFORD CLOSE,, GUILDFORD, SURREY, ENGLAND GU1 2EP</t>
  </si>
  <si>
    <t>0730-9384</t>
  </si>
  <si>
    <t>POLIT LIFE SCI</t>
  </si>
  <si>
    <t>Polit. Life Sci.</t>
  </si>
  <si>
    <t>10.1017/S0730938400024989</t>
  </si>
  <si>
    <t>Biology; History &amp; Philosophy Of Science; Social Issues</t>
  </si>
  <si>
    <t>Life Sciences &amp; Biomedicine - Other Topics; History &amp; Philosophy of Science; Social Issues</t>
  </si>
  <si>
    <t>YN552</t>
  </si>
  <si>
    <t>WOS:000071180000047</t>
  </si>
  <si>
    <t>Winograd, IJ; Landwehr, JM; Ludwig, KR; Coplen, TB; Riggs, AC</t>
  </si>
  <si>
    <t>Duration and structure of the past four interglaciations</t>
  </si>
  <si>
    <t>QUATERNARY RESEARCH</t>
  </si>
  <si>
    <t>HOLE CALCITE VEIN; DEVILS-HOLE; MILANKOVITCH THEORY; SEA-LEVEL; WESTERN-AUSTRALIA; CLIMATIC RECORD; ANTARCTIC ICE; GREAT-BASIN; CORALS; NEVADA</t>
  </si>
  <si>
    <t>Reanalysis and additional dating of the Devils Hole delta(18)O paleotemperature record confirm that the last interglaciation in the Great Basin (the continental analog of marine isotopic substage 5e) lasted similar to 22,000 yr, consistent with the Vostok paleotemperature record which suggests a duration of similar to 19,000 yr for this event in Antarctica. The three preceding interglaciations in the Devils Hole record (analogs of marine isotopic substages 7e, 9c, and 11c) range from 20,000 to 26,000 yr in duration. A similar to 20,000-yr duration for the last interglaciation is consistent with TIMS uranium-series dated sea-level high stands. Thus, the widely held view that interglaciations were of 11,000- to 13,000-yr duration and constituted only about 10% of mid-to-late Pleistocene climatic cycles needs reexamination. The warmest portion of each interglaciation in the Devils Hole time series is marked by a delta(18)O plateau, signifying apparent climatic stability for periods of 10,000- to 15,000-yr duration. (C) 1997 University of Washington.</t>
  </si>
  <si>
    <t>BERKELEY GEOCHRONOL CTR, BERKELEY, CA 94709 USA; US GEOL SURVEY, DENVER FED CTR, LAKEWOOD, CO 80225 USA</t>
  </si>
  <si>
    <t>Berkeley Geochronolgy Center; United States Department of the Interior; United States Geological Survey</t>
  </si>
  <si>
    <t>US GEOL SURVEY, NATL CTR 432, RESTON, VA 20192 USA.</t>
  </si>
  <si>
    <t>0033-5894</t>
  </si>
  <si>
    <t>1096-0287</t>
  </si>
  <si>
    <t>QUATERNARY RES</t>
  </si>
  <si>
    <t>Quat. Res.</t>
  </si>
  <si>
    <t>10.1006/qres.1997.1918</t>
  </si>
  <si>
    <t>YD930</t>
  </si>
  <si>
    <t>WOS:A1997YD93000001</t>
  </si>
  <si>
    <t>Pigg, KB; McLoughlin, S</t>
  </si>
  <si>
    <t>Anatomically preserved Glossopteris leaves from the Bowen and Sydney basins, Australia</t>
  </si>
  <si>
    <t>REVIEW OF PALAEOBOTANY AND PALYNOLOGY</t>
  </si>
  <si>
    <t>Glossopteris; leaves; anatomy; Australia; Antarctica; silicification</t>
  </si>
  <si>
    <t>CENTRAL TRANSANTARCTIC MOUNTAINS; EAST ANTARCTICA</t>
  </si>
  <si>
    <t>Anatomically preserved vegetative Glossopteris leaves in silicified peat deposits of Late Permian age are described from the Bowen Basin of Queensland and the Sydney Basin of New South Wales, Australia. Glossopteris homevalensis Pigg et McLoughlin, sp. nov., a distinctive new species from the Fort Cooper Coal Measures, Bowen Basin, is characterized by mesarch vascular bundles with parenchymatous bundle sheaths, a prominent midrib, the occasional presence of secondary vascular tissues, a differentiated mesophyll, an ad-and abaxial hypodermis of isodiametric-cuboidal cells with abundant fibers, epidermal cells with sinuous anticlinal margins and simple, slightly sunken stomata. Anatomically preserved leaves similar to G. schopfii Pigg, originally described from the central Transantarctic Mountains of Antarctica are also documented from the Bowen and Sydney basins. Those from the Burngrove Formation (Bowen Basin) differ slightly from Antarctic G. schopfii in size, and possess more numerous bundle sheath fibers and sometimes a more pronounced palisade mesophyll. Those from Katoomba (Sydney Basin) are also similar but may differ in some cuticular details. Also occurring in the Katoomba and Burngrove floras are leaves resembling G. skaarensis Pigg, a second species originally described from Antarctica. The presence of G. schopfii and cf. G. skaarensis in Australia as well as in the Transantarctic Mountains demonstrates their widespread distribution in eastern Gondwana. In contrast, the apparent restriction of G. homevalensis to a single locality in the Bowen Basin may reflect a distinct, more local distribution of a floristic assemblage unlike those typical of other Australian and Antarctic floras. (C) 1997 Elsevier Science B.V.</t>
  </si>
  <si>
    <t>UNIV MELBOURNE, SCH BOT, PARKVILLE, VIC 3052, AUSTRALIA</t>
  </si>
  <si>
    <t>ARIZONA STATE UNIV, DEPT BOT, BOX 981601, TEMPE, AZ 85287 USA.</t>
  </si>
  <si>
    <t>Pigg, Kathleen/0000-0002-8182-8461</t>
  </si>
  <si>
    <t>0034-6667</t>
  </si>
  <si>
    <t>1879-0615</t>
  </si>
  <si>
    <t>REV PALAEOBOT PALYNO</t>
  </si>
  <si>
    <t>Rev. Palaeobot. Palynology</t>
  </si>
  <si>
    <t>10.1016/S0034-6667(97)00007-9</t>
  </si>
  <si>
    <t>Plant Sciences; Paleontology</t>
  </si>
  <si>
    <t>YK327</t>
  </si>
  <si>
    <t>WOS:A1997YK32700006</t>
  </si>
  <si>
    <t>Hudson, DA</t>
  </si>
  <si>
    <t>Southern African climate change simulated by the GENESIS GCM</t>
  </si>
  <si>
    <t>GENERAL-CIRCULATION MODELS; ATMOSPHERIC CO2; CARBON-DIOXIDE; STORM TRACKS; SENSITIVITY; VARIABILITY; HEMISPHERE; SCHEME</t>
  </si>
  <si>
    <t>This paper examines the summer (DJF) and winter (JJA) equilibrium response of the climate system to an instantaneous doubling of CO2 using the T31 GENESIS general circulation model (GCM) (version 2.0.a). The results are analysed over southern Africa and the adjacent oceans (90 degrees S to 0 degrees; 70 degrees W to 110 degrees E) in order to evaluate the control simulation and determine the large-scale response to the CO2 forcing. The GCM has been shown to perform well under present-day conditions, perhaps with the exception of precipitation, which is overestimated in the model. In response to the doubling of CO2, there is a general increase in surface temperatures over the analysis window, with an increase of between 2 degrees and 3 degrees C over South Africa, and the temperature differential between high and low latitudes is reduced during both seasons. There are increases in sea-level pressures and 500 hPa heights south of Africa in the mid-latitudes during summer and winter in the 2 x CO2 simulation, which is indicative of a weakening of the westerly circulation in this region. For winter there is a reduction in the speed of the 500 hPa winds south of South Africa, whereas in summer there is a weakening of the subtropical jet stream and an increase in strength of the subpolar jet stream. Specific humidities increase in response to the increase in CO2 during both seasons, as do the 700 hPa moisture fluxes. For winter there is greater transport of moisture from over the Atlantic Ocean towards southern Africa in the 2 x CO2 simulation compared with the control. Mid-latitude cyclone densities are generally found to decrease in the mid-latitudes and increase in a narrow band surrounding the Antarctic continent for both seasons in the 2 x CO2 simulation. This has been related to changes in surface temperatures and positioning of the sea-ice margin.</t>
  </si>
  <si>
    <t>Univ Cape Town, Dept Geog &amp; Environm Sci, ZA-7700 Rondebosch, South Africa</t>
  </si>
  <si>
    <t>University of Cape Town</t>
  </si>
  <si>
    <t>Hudson, DA (corresponding author), Univ Cape Town, Dept Geog &amp; Environm Sci, ZA-7700 Rondebosch, South Africa.</t>
  </si>
  <si>
    <t>hudson@hickory.egs.uct.ac.za</t>
  </si>
  <si>
    <t>Hudson, Debra/0000-0002-0129-0922</t>
  </si>
  <si>
    <t>YQ563</t>
  </si>
  <si>
    <t>WOS:000071400300007</t>
  </si>
  <si>
    <t>Swenson, U; Bremer, K</t>
  </si>
  <si>
    <t>Patterns of floral evolution of four Asteraceae genera (Senecioneae, Blennospermatinae) and the origin of white flowers in New Zealand</t>
  </si>
  <si>
    <t>SYSTEMATIC BIOLOGY</t>
  </si>
  <si>
    <t>Abrotanella; Asteraceae; Blennosperma; Blennospermatinae; cladistic analysis; Crocidium; floral evolution; newer color; Ischnea; male floret; New Zealand; phylogenetic reconstruction; Senecioneae</t>
  </si>
  <si>
    <t>PHYLOGENETIC ANALYSIS; REPRODUCTIVE-BIOLOGY; CLADISTIC-ANALYSIS; CONFIDENCE-LIMITS; CHARACTER; RECONSTRUCTION; ANTHEMIDEAE; ABROTANELLA; ANGIOSPERM; BOOTSTRAP</t>
  </si>
  <si>
    <t>Two parsimony analyses based on morphological data of the subtribe Blennospermatinae (Asteraceae, Senecioneae) were performed to generate a hypothesis for the phylogenetic relationships within the subtribe, which comprises four genera and 27 species of both radiate and disciform genera distributed around the Pacific Rim. Heterogeneity of the group is concomitant with coding problems such as absence of organs leading to inapplicable states, also termed missing entries. Morphological data were therefore coded by two differing methods: (1) using the separate state ''absent'' or (2) using the state ''inapplicable.'' Substantial support for Blennospermatinae monophyly was obtained. A well-supported sister-group relationship, based on floral characters, was established between the two genera Biennosperma and Ischnea. Their ancestor evolved a specialized type of tubeless ray florets and male disc florets. These two genera are confined to the New World and to New Guinea, respectively. Their sister taxon is the monotypic North American genus Crocidium, and its status as a separate genus was supported. Abrotanella is a genus of 19 species confined to alpine habitats in the Southern Hemisphere. Monophyly and the isolated position of Abrotanella was strengthened. One clade of the genus has evolved functionally male central florets with a progressing trend toward cypsela reduction. Different floral colors have evolved in Abrotanella, and the deep yellow color found in the other genera is lost. Among the flowering plants confined to New Zealand, there is a remarkably high ratio of white-flowered species. Results of this study indicate that the white-flowered capitulum is a derived character within Abrotanella originating in New Zealand. A purple-flowered capitulum, also restricted to Abrotanella, is a repeatedly evolved apomorphic character found in species confined to southern South America and the sub-Antarctic Campbell and Auckland islands.</t>
  </si>
  <si>
    <t>Swenson, U (corresponding author), UNIV UPPSALA, DEPT SYSTEMAT BOT, VILLAVAGEN 6, S-75236 UPPSALA, SWEDEN.</t>
  </si>
  <si>
    <t>Bremer, Kare/0009-0001-1981-5854</t>
  </si>
  <si>
    <t>1063-5157</t>
  </si>
  <si>
    <t>1076-836X</t>
  </si>
  <si>
    <t>SYST BIOL</t>
  </si>
  <si>
    <t>Syst. Biol.</t>
  </si>
  <si>
    <t>10.2307/2413689</t>
  </si>
  <si>
    <t>Evolutionary Biology</t>
  </si>
  <si>
    <t>YA423</t>
  </si>
  <si>
    <t>WOS:A1997YA42300002</t>
  </si>
  <si>
    <t>Marshall, CJ</t>
  </si>
  <si>
    <t>Cold-adapted enzymes</t>
  </si>
  <si>
    <t>TRENDS IN BIOTECHNOLOGY</t>
  </si>
  <si>
    <t>FISH PAGOTHENIA-BERNACCHII; ANTARCTIC FISH; TEMPERATURE ADAPTATION; ALPHA-AMYLASE; DEHYDROGENASE; PROTEIN; GENES; CLONING; HEMOGLOBIN; ORGANISMS</t>
  </si>
  <si>
    <t>It is an article of faith among biochemists and molecular biologists that precious enzymes must be stored on ice. The usual reason given is that, at temperatures around freezing, enzyme activity is minimized and protein stability maximized. There is considerable evidence supporting this, but is it true for ail enzymes? What about enzymes from organisms that spend part or all of their lives at temperatures around freezing? How do they manage to maintain normal enzymatic function at low temperatures? Can we learn something from cold-adapted proteins that would allow us better to understand how proteins function?</t>
  </si>
  <si>
    <t>UNIV OTAGO, DEPT BIOCHEM, POB 56, DUNEDIN, NEW ZEALAND.</t>
  </si>
  <si>
    <t>Marshall, Craig/C-6668-2009</t>
  </si>
  <si>
    <t>Marshall, Craig/0000-0003-4186-0368</t>
  </si>
  <si>
    <t>ELSEVIER SCIENCE LONDON</t>
  </si>
  <si>
    <t>84 THEOBALDS RD, LONDON WC1X 8RR, ENGLAND</t>
  </si>
  <si>
    <t>0167-7799</t>
  </si>
  <si>
    <t>1879-3096</t>
  </si>
  <si>
    <t>TRENDS BIOTECHNOL</t>
  </si>
  <si>
    <t>Trends Biotechnol.</t>
  </si>
  <si>
    <t>10.1016/S0167-7799(97)01086-X</t>
  </si>
  <si>
    <t>XU046</t>
  </si>
  <si>
    <t>WOS:A1997XU04600009</t>
  </si>
  <si>
    <t>Croxall, JP</t>
  </si>
  <si>
    <t>Emperor ecology in the Antarctic winter</t>
  </si>
  <si>
    <t>TRENDS IN ECOLOGY &amp; EVOLUTION</t>
  </si>
  <si>
    <t>EASTERN WEDDELL SEA; APTENODYTES-FORSTERI; DIVING BEHAVIOR; PENGUINS; DIET; CHICKS</t>
  </si>
  <si>
    <t>Croxall, JP (corresponding author), BRITISH ANTARCTIC SURVEY,NERC,HIGH CROSS,MADINGLEY RD,CAMBRIDGE CB3 0ET,ENGLAND.</t>
  </si>
  <si>
    <t>THE BOULEVARD, LANGFORD LANE, KIDLINGTON, OXFORD, OXON, ENGLAND OX5 1GB</t>
  </si>
  <si>
    <t>0169-5347</t>
  </si>
  <si>
    <t>TRENDS ECOL EVOL</t>
  </si>
  <si>
    <t>Trends Ecol. Evol.</t>
  </si>
  <si>
    <t>10.1016/S0169-5347(97)01136-1</t>
  </si>
  <si>
    <t>Ecology; Evolutionary Biology; Genetics &amp; Heredity</t>
  </si>
  <si>
    <t>Environmental Sciences &amp; Ecology; Evolutionary Biology; Genetics &amp; Heredity</t>
  </si>
  <si>
    <t>XR631</t>
  </si>
  <si>
    <t>WOS:A1997XR63100001</t>
  </si>
  <si>
    <t>Royer, JY; Gordon, RG</t>
  </si>
  <si>
    <t>The motion and boundary between the Capricorn and Australian plates</t>
  </si>
  <si>
    <t>CENTRAL INDIAN-OCEAN; INTRAPLATE DEFORMATION; HISTORICAL SEISMICITY; STATISTICAL TESTS; TRIPLE JUNCTION; TECTONICS; RIDGE; CONSTRAINTS; LITHOSPHERE; CLOSURE</t>
  </si>
  <si>
    <t>The motions between the Somalian, Antarctic, and Australian plates-the three plates believed to meet at the Rodrigues triple junction in the Indian Ocean-are inconsistent with the assumption that all three plates are rigid. The discrepancy is best explained if the Australian plate contains two component plates. Thus, the traditionally defined Indo-Australian plate consists of three component plates and multiple diffuse plate boundaries. The pattern of present deformation indicates that the boundaries between the th ree component plates are two unconnected zones accommodating divergence and a larger zone, which we interpret as three diffuse convergent plate boundaries and a diffuse triple junction.</t>
  </si>
  <si>
    <t>RICE UNIV,DEPT GEOL &amp; GEOPHYS,MS 126,HOUSTON,TX 77005</t>
  </si>
  <si>
    <t>Rice University</t>
  </si>
  <si>
    <t>Royer, JY (corresponding author), GEOSCI AZUR,BP 48,F-06235 VILLEFRANCHE MER,FRANCE.</t>
  </si>
  <si>
    <t>AUG 29</t>
  </si>
  <si>
    <t>10.1126/science.277.5330.1268</t>
  </si>
  <si>
    <t>XT827</t>
  </si>
  <si>
    <t>WOS:A1997XT82700044</t>
  </si>
  <si>
    <t>Roscoe, HK; Taylor, WH; Evans, JD; Tait, AM; Freshwater, R; Fish, D; Strong, EK; Jones, RL</t>
  </si>
  <si>
    <t>Automated ground-based star-pointing UV-visible spectrometer for stratospheric measurements</t>
  </si>
  <si>
    <t>APPLIED OPTICS</t>
  </si>
  <si>
    <t>TOTAL OZONE</t>
  </si>
  <si>
    <t>A novel automated ground-based star-pointing spectrometer system has been constructed for long-term deployment in Antarctica. Similar to our earlier stellar system, a two-dimensional detector array measures the spectra of the star and the adjacent sky, so that auroral emission from the sky can be subtracted from the stellar signal. Some new features are an altitude-azimuth pointing mirror, so that the spectrometer does not move; slip rings to provide its power thereby avoiding flexing of cables and restriction of all-around viewing; and a glazed enclosure around the mirror to ensure protection from rain and snow, made from flat plates to avoid changing the focal length of the telescope. The optical system can also view sunlight scattered from the zenith sky. The system automatically points and tracks selected stars and switches to other views on command. The system is now installed at Halley in Antarctica, and some preliminary measurements of ozone from Antarctica are shown. (C) 1997 Optical Society of America.</t>
  </si>
  <si>
    <t>UNIV CAMBRIDGE,CAMBRIDGE CTR ATMOSPHER SCI,DEPT CHEM,CAMBRIDGE CB2 1EW,ENGLAND</t>
  </si>
  <si>
    <t>Roscoe, HK (corresponding author), BRITISH ANTARCTIC SURVEY,NERC,MADINGLEY RD,CAMBRIDGE CB3 0ET,ENGLAND.</t>
  </si>
  <si>
    <t>Strong, Kimberly/D-2563-2012</t>
  </si>
  <si>
    <t>Strong, Kimberly/0000-0001-9947-1053</t>
  </si>
  <si>
    <t>OPTICAL SOC AMER</t>
  </si>
  <si>
    <t>2010 MASSACHUSETTS AVE NW, WASHINGTON, DC 20036</t>
  </si>
  <si>
    <t>0003-6935</t>
  </si>
  <si>
    <t>APPL OPTICS</t>
  </si>
  <si>
    <t>Appl. Optics</t>
  </si>
  <si>
    <t>AUG 20</t>
  </si>
  <si>
    <t>10.1364/AO.36.006069</t>
  </si>
  <si>
    <t>Optics</t>
  </si>
  <si>
    <t>XR271</t>
  </si>
  <si>
    <t>WOS:A1997XR27100042</t>
  </si>
  <si>
    <t>Preston, KE; Jones, RL; Roscoe, HK</t>
  </si>
  <si>
    <t>Retrieval of NO2 vertical profiles from ground-based UV-visible measurements: Method and validation</t>
  </si>
  <si>
    <t>RADIATIVE-TRANSFER MODELS; ZENITH-SKY SPECTROMETERS; AIR-MASS FACTORS; NITROGEN-DIOXIDE; OZONE; DISTRIBUTIONS; SPECTROSCOPY; TEMPERATURE; ATMOSPHERE</t>
  </si>
  <si>
    <t>Vertical profiles of NO2 are retrieved from ground-based UV-visible slant columns by sequential estimation, using a forward model that consists of a stacked box photochemical model and a radiative transfer model. The retrieval method is characterized, and a rigorous error analysis is presented. The vertical resolution of the retrieved profiles is shown to vary from 5 to 10 km, depending on the retrieval altitude. The retrieved profiles are found to be moderately sensitive to the assumed vertical profiles of ozone and aerosol, to the range of solar zenith angles of the observations, and to the error in the slant column. However, in the altitude range 10 to 35 km they are relatively insensitive to a priori information and agreed well with profiles from simultaneous balloon-borne measurements.</t>
  </si>
  <si>
    <t>BRITISH ANTARCTIC SURVEY, NERC, CAMBRIDGE CB3 0ET, ENGLAND</t>
  </si>
  <si>
    <t>CAMBRIDGE CTR ATMOSPHER SCI, DEPT CHEM, LENSFIELD RD, CAMBRIDGE CB2 1EW, ENGLAND.</t>
  </si>
  <si>
    <t>D15</t>
  </si>
  <si>
    <t>10.1029/97JD00603</t>
  </si>
  <si>
    <t>XT101</t>
  </si>
  <si>
    <t>WOS:A1997XT10100022</t>
  </si>
  <si>
    <t>Mergenthaler, JL; Kumer, JB; Roche, AE; Massie, ST</t>
  </si>
  <si>
    <t>Distribution of Antarctic polar stratospheric clouds as seen by the CLAES experiment</t>
  </si>
  <si>
    <t>NITRIC-ACID; VOLCANIC AEROSOL; OZONE; HNO3; DEPLETION; PARTICLES; SATELLITE; WINTER; UARS; MLS</t>
  </si>
  <si>
    <t>The distribution and optical characteristics of Antarctic polar stratospheric clouds (PSCs) during the winter of 1992 as seen from the cryogenic limb array etalon spectrometer (CLAES) on the NASA Upper Atmosphere Research Satellite (UARS) are presented. The CLAES measurements are the first extensive stratospheric aerosol observations through much of the Antarctic polar night. An analysis of the vertical and areal distribution using the aerosol absorption coefficient measured at 780 cm(-1) is presented, including a polar map showing the frequency of PSC occurrence during the two CLAES Antarctic viewing periods June II to July 10 and August 16 to September 18. The PSC seasonal evolution from CLAES is compared with a climatology based on the Stratospheric Aerosol Measurements II (SAM II) system. The frequency of PSC occurrence in the CLAES data sampled at latitudes similar to those observed with SAM Il shows general agreement with the climatology. Some obvious differences between details of the PSC evolution seen by CLAES and the climatology are investigated with 1982 SAM II aerosol extinction data and shown to be due to intra-annual variations specific to 1992, which appear in both data sets.</t>
  </si>
  <si>
    <t>NATL CTR ATMOSPHER RES, BOULDER, CO 80307 USA</t>
  </si>
  <si>
    <t>Mergenthaler, JL (corresponding author), LOCKHEED MARTIN ADV TECHNOL CTR, 3251 HANOVER ST, PALO ALTO, CA 94304 USA.</t>
  </si>
  <si>
    <t>10.1029/97JD01077</t>
  </si>
  <si>
    <t>WOS:A1997XT10100028</t>
  </si>
  <si>
    <t>Nichols, DS; Nichols, PD; Russell, NJ; Davies, NW; McMeekin, TA</t>
  </si>
  <si>
    <t>Polyunsaturated fatty acids in the psychrophilic bacterium Shewanella gelidimarina ACAM 456(T): molecular species analysis of major phospholipids and biosynthesis of eicosapentaenoic acid</t>
  </si>
  <si>
    <t>BIOCHIMICA ET BIOPHYSICA ACTA-LIPIDS AND LIPID METABOLISM</t>
  </si>
  <si>
    <t>Antarctic; psychrophile; polyunsaturated fatty acid; (Shewanella)</t>
  </si>
  <si>
    <t>ANTARCTIC BACTERIA; GROWTH-CONDITIONS; MARINE-BACTERIA; TEMPERATURE; VIBRIO; FISH; SCRC-2738; EPA; PRODUCTIVITY; INTESTINES</t>
  </si>
  <si>
    <t>The production of eicosapentaenoic acid [20:5 omega 3; EPA] from Shewanella gelidimarina (ACAM 456(T)) was investigated with respect to growth temperature and growth on sole carbon sources. The percentage and quantitative yield of EPA remained relatively constant at all growth temperatures within or below the optimal growth temperature region. At higher growth temperatures, these values decreased greatly. Growth on differing sole carbon sources also influenced the percentage and amount of EPA produced, with the fatty acid composition influenced by provision of potential acyl chain primers as sole carbon sources. The highest amounts of EPA occurred from growth on propionic acid and L-leucine respectively, while the highest percentage of EPA occurred from growth on L-proline. Monounsaturated fatty acid components and EPA were concentrated in phosphatidylglycerol (PG), while the proportion of branched-chain fatty acids was elevated in phosphatidylethanolamine (PE); the two major phospholipid classes. Specific associations of EPA with other acyl chains were identified within cellular phospholipid classes. The association of EPA with 17:1 and 18:0 acyl chains in phospholipid species was specific to PG, whereas the association of EPA with i13:0/13:0 and 14:0/i14:0 was specific to PE. Such acyl chain 'tailoring' is indicative of the important role of EPA in bacterial membrane adaptive responses. EPA was also a large component (22%) of a non-esterified fatty acid (NEFA) fraction within the total lipid extract of the bacterium. This may point toward a particular role of NEFA in polyunsaturated fatty acid (PUFA) metabolism. The formation of EPA was investigated by labelling with L-[U-C-14]serine and sodium [I-C-14]acetate. The accumulation of radiolabel within unsaturated intermediates (di-, tri- and tetraunsaturated fractions) was low, indicating a rapid formation and derivatisation of these components. Similar results were found for the unsaturated fatty acid fractions of both PE and PG using sodium [I-C-14]acetate radiolabel. The regulation of triunsaturated fatty acid components may be a potential control site in PUFA biosynthesis. (C) 1997 Elsevier Science B.V.</t>
  </si>
  <si>
    <t>UNIV TASMANIA,DEPT AGR SCI,HOBART,TAS 7001,AUSTRALIA; CSIRO,DIV MARINE RES,HOBART,TAS 7001,AUSTRALIA; UNIV LONDON WYE COLL,DEPT BIOL SCI,MICROBIOL LABS,ASHFORD TN25 5AH,KENT,ENGLAND; UNIV TASMANIA,CENT SCI LAB,HOBART,TAS 7001,AUSTRALIA</t>
  </si>
  <si>
    <t>University of Tasmania; Commonwealth Scientific &amp; Industrial Research Organisation (CSIRO); Imperial College London; University of Tasmania</t>
  </si>
  <si>
    <t>Nichols, DS (corresponding author), UNIV TASMANIA,ANTARCTIC CRC,GPO BOX 252-80,HOBART,TAS 7001,AUSTRALIA.</t>
  </si>
  <si>
    <t>Nichols, Peter D/C-5128-2011; Davies, Noel/J-7714-2014</t>
  </si>
  <si>
    <t>Nichols, David/0000-0002-8066-3132; Davies, Noel/0000-0002-9624-0935</t>
  </si>
  <si>
    <t>0005-2760</t>
  </si>
  <si>
    <t>BBA-LIPID LIPID MET</t>
  </si>
  <si>
    <t>Biochim. Biophys. Acta-Lipids Lipid Metab.</t>
  </si>
  <si>
    <t>AUG 16</t>
  </si>
  <si>
    <t>10.1016/S0005-2760(97)00068-4</t>
  </si>
  <si>
    <t>XU601</t>
  </si>
  <si>
    <t>WOS:A1997XU60100005</t>
  </si>
  <si>
    <t>Gerike, U; Danson, MJ; Russell, NJ; Hough, DW</t>
  </si>
  <si>
    <t>Sequencing and expression of the gene encoding a cold-active citrate synthase from an Antarctic bacterium, strain DS2-3R</t>
  </si>
  <si>
    <t>EUROPEAN JOURNAL OF BIOCHEMISTRY</t>
  </si>
  <si>
    <t>citrate synthase; gene sequence; expression; psychrophilic bacterium; cold-active enzyme</t>
  </si>
  <si>
    <t>THERMOPLASMA-ACIDOPHILUM; CRYSTAL-STRUCTURE; ESCHERICHIA-COLI; CLONING; PROTEINS; RESOLUTION; ARCHAEON</t>
  </si>
  <si>
    <t>The gene encoding citrate synthase from a novel bacterial isolate (DS2-3R) from Antarctica has been cloned, sequenced and over expressed in Escherichia coli. Both the recombinant enzyme and the native enzyme, purified from DS2-3R, are cold-active, with a temperature optimum of 31 degrees C. In addition the enzymes are rapidly inactivated at 45 degrees C, and show significant activity at 10 degrees C and below. Comparison of amino acid sequences indicates that DS2-3R citrate synthase is most closely related to the enzyme from gram-positive bacteria. The amino acid sequence of the DS2-3R enzyme shows several features previously recognised in other cold-active enzymes, including an extended surface loop, an increase in the occurrence of charged residues and a decrease in the number of proline residues in loops. Other changes observed in some psychrophilic enzymes, such as a decrease in isoleucine content and in arginine/(arginine + lysine) content, were not seen in this case.</t>
  </si>
  <si>
    <t>UNIV BATH,DEPT BIOL &amp; BIOCHEM,CTR EXTRAMOPHILE RES,BATH BA2 7AY,AVON,ENGLAND; UNIV LONDON WYE COLL,DEPT BIOL SCI,ASHFORD TN25 5AH,KENT,ENGLAND</t>
  </si>
  <si>
    <t>University of Bath; Imperial College London</t>
  </si>
  <si>
    <t>0014-2956</t>
  </si>
  <si>
    <t>EUR J BIOCHEM</t>
  </si>
  <si>
    <t>Eur. J. Biochem.</t>
  </si>
  <si>
    <t>AUG 15</t>
  </si>
  <si>
    <t>10.1111/j.1432-1033.1997.00049.x</t>
  </si>
  <si>
    <t>XR909</t>
  </si>
  <si>
    <t>WOS:A1997XR90900008</t>
  </si>
  <si>
    <t>Chisholm, W; Rosman, KJR; Candelone, JP; Boutron, CF</t>
  </si>
  <si>
    <t>Measurement of bismuth at pg g(-1) concentrations in snow and ice samples by thermal ionisation mass spectrometry</t>
  </si>
  <si>
    <t>ANALYTICA CHIMICA ACTA</t>
  </si>
  <si>
    <t>mass spectrometry; thermal ionisation mass spectrometry; bismuth; snow; ice</t>
  </si>
  <si>
    <t>HEAVY-METAL ANALYSIS; ISOTOPIC EVIDENCE; GREENLAND SNOWS; ANTARCTIC ICE; LATE 1960S; LEAD; VOLCANISM; RECORD; MAGNITUDE; CLIMATE</t>
  </si>
  <si>
    <t>A technique has been developed to measure bismuth in small volumes of snow and ice at pg g(-1) concentrations by thermal ionisation mass spectrometry (TIMS). The analysis of Greenland snow accumulated at Summit from 1967 to 1989 and 8 ky old ice has yielded values between 0.02-0.9 pg g(-1). After normalising to aluminium concentrations, enhancements in bismuth concentrations were found to correlate significantly with three volcanic events. These enhancements are consistent with high bismuth concentrations observed in emissions from volcanoes. Compared with ancient ice recent bismuth concentrations are enhanced relative to aluminium implying either increased volcanic activity in the recent times or, more likely, a contribution from anthropogenic sources.</t>
  </si>
  <si>
    <t>CURTIN UNIV TECHNOL, PERTH, WA 6001, AUSTRALIA; LAB GLACIOL &amp; GEOPHYS ENVIRONM, F-38402 ST MARTIN DHERES, FRANCE; UNIV GRENOBLE 1, UFR MECAN, INST UNIV FRANCE, F-38041 GRENOBLE, FRANCE; RUSSIAN ACAD SCI, INST SPECT, TROITSK 142092, MOSCOW REGION, RUSSIA</t>
  </si>
  <si>
    <t>Curtin University; Institut Universitaire de France; Communaute Universite Grenoble Alpes; Universite Grenoble Alpes (UGA); Russian Academy of Sciences; Institute of Spectroscopy</t>
  </si>
  <si>
    <t>Bolshov, Mikhail/J-2249-2012</t>
  </si>
  <si>
    <t>0003-2670</t>
  </si>
  <si>
    <t>1873-4324</t>
  </si>
  <si>
    <t>ANAL CHIM ACTA</t>
  </si>
  <si>
    <t>Anal. Chim. Acta</t>
  </si>
  <si>
    <t>AUG 11</t>
  </si>
  <si>
    <t>10.1016/S0003-2670(97)00176-1</t>
  </si>
  <si>
    <t>XT409</t>
  </si>
  <si>
    <t>WOS:A1997XT40900013</t>
  </si>
  <si>
    <t>Duncan, RA; Hooper, PR; Rehacek, J; Marsh, JS; Duncan, AR</t>
  </si>
  <si>
    <t>The timing and duration of the Karoo igneous event, southern Gondwana</t>
  </si>
  <si>
    <t>CRETACEOUS TERTIARY BOUNDARY; FLOOD-BASALT VOLCANISM; MANTLE PLUMES; TRIASSIC BOUNDARY; SIBERIAN TRAPS; RAPID ERUPTION; AGE; ANTARCTICA; ATLANTIC; TIME</t>
  </si>
  <si>
    <t>A volcanic event of immense scale occurred within a relatively short period in early Jurassic time over large regions of the contiguous Gondwana supercontinent. Ln southern Africa, associated remnants of thick volcanic successions of lava flows and extensive dike and sill complexes of similar composition have been grouped together as the Karoo Igneous Province. Correlative volcanic and plutonic rocks occur in Antarctica and Australia as the Ferrar Province. Thirty-two new 40Ar-39Ar incremental heating experiments on feldspars and whole rocks from Namibia, South Africa and East Antarctica produce highly resolved ages with a vast majority at 183 +/- 1 Ma and a total range of 184 to 179 Ma. These are indistinguishable from recent, high-resolution 40Ar-39Ar and U-Pb age determinations reported from the Antarctic portion of the province. Initial Karoo volcanism (Lesotho-type compositions) occurred across the entire South African craton. The ubiquitous distribution of a plexus of generally nonoriented feeder dikes and sills intruding Precambrian crystalline rocks and Phanerozoic sediments indicates that these magmas penetrated the craton over a broad region. Lithosphere thinning of the continent followed the main pulse of igneous activity, with volcanism focused in the Lebombo-Nuanetsi region, near the eventual split between Africa and Antarctica. Seafloor spreading and dispersion of east and west Gondwana followed some 10-20 m.y, afterward. The volume of the combined Karoo-Ferrar province (similar to 2.5 x 10(6) km(3)) makes it one of the largest continental flood basalt events. The timing of this event correlates with a moderate mass extinction (Toarcian-Aalenian), affecting largely marine invertebrates. This extinction event was not as severe as those recorded at the Permian-Triassic or Cretaceous-Tertiary boundaries associated with the Siberian and Deccan flood basalts events, respectively. The difference may be due to the high southerly latitude and somewhat lower eruption rates of the Karoo event.</t>
  </si>
  <si>
    <t>UNIV CAPE TOWN, DEPT GEOL SCI, ZA-7700 RONDEBOSCH, SOUTH AFRICA; WASHINGTON STATE UNIV, DEPT GEOL, PULLMAN, WA 99164 USA; RHODES UNIV, DEPT GEOL, ZA-34060 GRAHAMSTOWN, SOUTH AFRICA</t>
  </si>
  <si>
    <t>University of Cape Town; Washington State University; Rhodes University</t>
  </si>
  <si>
    <t>OREGON STATE UNIV, COLL OCEAN &amp; ATMOSPHER SCI, 104 OCEAN ADMIN BLDG, CORVALLIS, OR 97331 USA.</t>
  </si>
  <si>
    <t>Duncan, Robert A/A-2168-2013; Marsh, Julian/K-9037-2017</t>
  </si>
  <si>
    <t>Marsh, Julian/0000-0001-6573-5508</t>
  </si>
  <si>
    <t>AUG 10</t>
  </si>
  <si>
    <t>B8</t>
  </si>
  <si>
    <t>10.1029/97JB00972</t>
  </si>
  <si>
    <t>XQ830</t>
  </si>
  <si>
    <t>WOS:A1997XQ83000034</t>
  </si>
  <si>
    <t>Wolff, EW; Miners, WD; Moore, JC; Paren, JG</t>
  </si>
  <si>
    <t>Factors controlling the electrical conductivity of ice from the polar regions - A summary</t>
  </si>
  <si>
    <t>Symposium on Physics and Chemistry of Ice 1996</t>
  </si>
  <si>
    <t>AUG 27-31, 1996</t>
  </si>
  <si>
    <t>HANOVER, NH</t>
  </si>
  <si>
    <t>ANTARCTIC ICE; SULFURIC-ACID; CORES; GREENLAND; STRATIGRAPHY; VOLCANISM; AMMONIUM; SUMMIT; SHEET</t>
  </si>
  <si>
    <t>Data on the relationship between the electrical conductivity and the chemistry of ice cores from the polar regions are summarized, The electrical conductivity measurement is used as a proxy for de conductivity, while dielectric profiling gives high-frequency conductivity. The de conductivity seems to be controlled entirely by the acidity of the ice, with a secondary effect of the accompanying anion. There is no positive response when huge excesses of sea salt, ammonium, or calcium are present, except in ice where brine is present. The high-frequency conductivity is controlled by acidity, ammonium, and chloride. This finding can be accommodated within Jaccard theory, but the relative response at high frequency to the three ions seems puzzling. The possibility that de conduction may be through grain boundaries can also not be discounted.</t>
  </si>
  <si>
    <t>UNIV LAPLAND,ARCTIC CTR,SF-96101 ROVANIEMI,FINLAND</t>
  </si>
  <si>
    <t>University of Lapland</t>
  </si>
  <si>
    <t>Wolff, EW (corresponding author), BRITISH ANTARCTIC SURVEY,NERC,HIGH CROSS,MADINGLEY RD,CAMBRIDGE CB3 0ET,ENGLAND.</t>
  </si>
  <si>
    <t>Moore, John C/B-2868-2013; Wolff, Eric W/D-7925-2014</t>
  </si>
  <si>
    <t>Moore, John C/0000-0001-8271-5787; Wolff, Eric W/0000-0002-5914-8531</t>
  </si>
  <si>
    <t>1089-5647</t>
  </si>
  <si>
    <t>AUG 7</t>
  </si>
  <si>
    <t>10.1021/jp9631543</t>
  </si>
  <si>
    <t>XP913</t>
  </si>
  <si>
    <t>WOS:A1997XP91300004</t>
  </si>
  <si>
    <t>Miners, WD; Hildebrand, A; Gerland, S; Blindow, N; Steinhage, D; Wolff, EW</t>
  </si>
  <si>
    <t>Forward modeling of the internal layers in radio echo sounding using electrical and density measurements from ice cores</t>
  </si>
  <si>
    <t>The measured density and conductivity of a 181 m ice core are used to calculate a profile of complex reflection coefficients. It is confirmed that the amplitude reflection coefficients due to the conductivity variations are negligible in comparison to the amplitude reflection coefficients due to the density variations. Using the magnitudes of these reflection coefficients we obtain a profile of the expected power being returned to the surface. The modeled power return is compared with the results of a short pulse electromagnetic reflection survey near the drill site. We also convolve the profile of complex reflection coefficients with a depth invariant input wavelet to produce a synthetic radargram for the top part of the ice sheet. The phase change given to wavelets reflecting from the conductivity variations has a negligible effect on the synthetic radargram. Using this simple model we are unable to match the positions of the internal layers in the synthetic radargram with those in the reflection survey.</t>
  </si>
  <si>
    <t>UNIV MUNSTER, INST GEOPHYS, FORSCH STELLE PHYS GLAZIOL, D-48149 MUNSTER, GERMANY; ALFRED WEGENER INST POLAR &amp; MARINE RES, D-27515 BREMERHAVEN, GERMANY</t>
  </si>
  <si>
    <t>University of Munster; Helmholtz Association; Alfred Wegener Institute, Helmholtz Centre for Polar &amp; Marine Research</t>
  </si>
  <si>
    <t>Miners, WD (corresponding author), BRITISH ANTARCTIC SURVEY, HIGH CROSS, MADINGLEY RD, CAMBRIDGE CB3 0ET, ENGLAND.</t>
  </si>
  <si>
    <t>Wolff, Eric W/D-7925-2014</t>
  </si>
  <si>
    <t>Wolff, Eric W/0000-0002-5914-8531</t>
  </si>
  <si>
    <t>10.1021/jp963218+</t>
  </si>
  <si>
    <t>WOS:A1997XP91300031</t>
  </si>
  <si>
    <t>Manos, PS</t>
  </si>
  <si>
    <t>Systematics of Nothofagus (Nothofagaceae) based on rDNA spacer sequences (ITS): Taxonomic congruence with morphology and plastid sequences</t>
  </si>
  <si>
    <t>AMERICAN JOURNAL OF BOTANY</t>
  </si>
  <si>
    <t>biogeography; ITS sequences; Nothofagus; Nothofagaceae; rDNA; taxonomic congruence</t>
  </si>
  <si>
    <t>NUCLEAR RIBOSOMAL DNA; NEW-ZEALAND; FAGACEAE; REGION; ANTARCTICA; AUSTRALIA; TASMANIA; GENE</t>
  </si>
  <si>
    <t>Phylogenetic relationships were examined within the southern beech family Nothofagaceae using 22 species representing the four currently recognized subgenera and related outgroups. Nuclear ribosomal DNA sequences encoding the 5.8s rRNA and two flanking internal transcribed spacers (ITS) provided 95 phylogenetically informative nucleotide sites from a single alignment of similar to 588 bases per species. Parsimony analysis of this variation produced two equally parsimonious trees supporting four monophyletic groups, which correspond to groups designated by pollen type. These topologies were compared to trees from reanalyses of previously reported rbcL sequences and a modified morphological data set. Results from parsimony analysis of the three data sets were highly congruent, with topological differences restricted to the placement of a few terminal taxa. Combined analysis of molecular and morphological data produced six equally parsimonious trees. The consensus of these trees suggests two basal clades within Nothofagus. Within the larger of the two clades, tropical Nothofagus (subgenus Brassospora) of New Guinea and New Caledonia are strongly supported as sister to cool-temperate species of South America (subgenus Nothofagus). Most of the morphological apomorphies of the cupule, fruit, and pollen of Nothofagus are distributed within this larger clade. An area cladogram based on the consensus of combined data supports three trans-Antarctic relationships, two within pollen groups and one between pollen groups. Fossil data support continuous ancestral distributions for all four pollen groups prior to continental drift; therefore, vicariance adequately explains two of these disjunctions. Extinction of trans-Antarctic sister taxa within formerly widespread pollen groups explains the third disjunction; this results in a biogeographic pattern indicative of phylogenetic relationship not vicariance. For the biogeographically informative vicariant clades, area relationships based on total evidence support the recently advanced hypothesis that New Zealand and Australia share a unique common ancestry. Contrary to previous thought, the distribution of extant Nothofagus is informative on the area relationships of the Southern Hemisphere, once precise phylogenetic relationships are placed in the context of fossil data.</t>
  </si>
  <si>
    <t>Manos, PS (corresponding author), DUKE UNIV,DEPT BOT,BOX 90338,DURHAM,NC 27708, USA.</t>
  </si>
  <si>
    <t>BOTANICAL SOC AMER INC</t>
  </si>
  <si>
    <t>COLUMBUS</t>
  </si>
  <si>
    <t>OHIO STATE UNIV-DEPT BOTANY 1735 NEIL AVE, COLUMBUS, OH 43210</t>
  </si>
  <si>
    <t>0002-9122</t>
  </si>
  <si>
    <t>AM J BOT</t>
  </si>
  <si>
    <t>Am. J. Bot.</t>
  </si>
  <si>
    <t>AUG</t>
  </si>
  <si>
    <t>10.2307/2446156</t>
  </si>
  <si>
    <t>XT046</t>
  </si>
  <si>
    <t>WOS:A1997XT04600012</t>
  </si>
  <si>
    <t>Thomson, NR; Clilverd, MA; Smith, AJ</t>
  </si>
  <si>
    <t>Evidence of more efficient whistler-mode transmission during periods of increased magnetic activity</t>
  </si>
  <si>
    <t>ELECTRON-DENSITY; GROUP DELAYS; SIGNALS; PLASMASPHERE; PROPAGATION; WAVES</t>
  </si>
  <si>
    <t>In a previous study it was reported that whistler-mode signals received at Faraday, Antarctica (65 degrees S, 64 degrees W) and Dunedin, New Zealand (46 degrees S, 171 degrees E) with entry regions in Pacific longitudes (typically from the VLF transmitter NLK, Seattle, USA) showed an increase in transmission of wave energy as magnetic activity increased. However, signals with entry regions in Atlantic longitudes (typically from the NSS transmitter, Annapolis, USA) did not appear to show such a relationship. This paper reports the results of a study of the same two longitude ranges but with the opposite transmitter providing additional whistler-mode signal information, with L-values in the range 1.8-2.6. Transmissions from NLK once again indicate a relationship between the transmission of wave energy and magnetic activity even though the signals were propagating in Atlantic longitudes, not Pacific. Any trend in NSS events observed at Dunedin was obscured by a limited range of magnetic activity, and duct exit regions so close to the receiver that small-scale excitation effects appeared to be occurring. However, by combining data from both longitudes, i.e Pacific and Atlantic, and using only ducts with exit regions that were &gt; 500 km from the receiver, NSS events were found to show the same trend as NLK events. No significant longitude-dependent or transmitter-dependent variations in duct efficiency could be detected. Duct efficiency increases by a factor of about 30 with K-p = 2-8 and this result is discussed in terms of changes in wave-particle interactions and duct size.</t>
  </si>
  <si>
    <t>Thomson, NR (corresponding author), UNIV OTAGO,DEPT PHYS,DUNEDIN,NEW ZEALAND.</t>
  </si>
  <si>
    <t>10.1007/s005850050517</t>
  </si>
  <si>
    <t>XV259</t>
  </si>
  <si>
    <t>WOS:A1997XV25900005</t>
  </si>
  <si>
    <t>Bowman, JP; McCammon, SA; Brown, MV; Nichols, DS; McMeekin, TA</t>
  </si>
  <si>
    <t>Diversity and association of psychrophilic bacteria in Antarctic sea ice</t>
  </si>
  <si>
    <t>WEDDELL SEA; MICROBIAL COMMUNITIES; MCMURDO-SOUND; UNDERLYING WATER; GROWTH; ABUNDANCE; BIOMASS; EDGE</t>
  </si>
  <si>
    <t>The bacterial populations associated with sea ice sampled from Antarctic coastal areas were investigated by use of a phenotypic approach and a phylogenetic approach based on genes encoding 16S rRNA (16S rDNA). The diversity of bacteria associated with sea ice eras also compared with the bacterial diversity of seawater underlying sea ice. Psychrophilic (optimal growth temperature, less than or equal to 15 degrees C; no growth occurring at 20 degrees C) bacterial diversity was found to be significantly enriched in sea ice samples possessing platelet and bottom ice diatom assemblages, with 2 to 9 distinct (average, 5.6 +/- 1.8) psychrophilic taxa isolated per sample, Substantially fewer psychrophilic isolates mess recovered from ice cores with a low or negligible population of ice diatoms or from under-ice seawater samples (less than one distinct taxon isolated per sample). In addition, psychrophilic taxa that were isolated from under-ice seawater samples were in general phylogenetically distinct from psychrophilic taxa isolated from sea ice cores. The taxonomic distributions of psychrotrophic bacterial isolates (optimal growth temperature, &gt;20 degrees C; growth can occur at similar to 4 degrees C) isolated from sea ice cores and under-ice seawater were quite similar. Overall, bacterial isolates from Antarctic sea ice were found to belong to four phylogenetic groups, the alpha and gamma subdivisions of the Proteobacteria, the gram-positive branch, and the Flexibacter-Bacteroides-Cytophaga phylum. Most of the sea ice strains examined appeared to be novel tars based on phylogenetic comparisons, with 45% of the strains being psychrophilic. 16S rDNA sequence analysis revealed that psychrophilic strains belonged to the genera Colwellia, Shewanella, Marinobacter, Planococcus, and novel phylogenetic lineages adjacent to Colwellia and Alteromonas and within the Flexibacter-Bacteroides-Cytophaga phylum. Psychrotrophic strains were found to be members of the genera Pseudoalteromonas, Psychrobacter, Halomonas, Pseudomonas, Hyphomonas, Sphingomonas, Arthrobacter Planococcus, and Halobacillus. From this survey, it is proposed. that ice diatom assemblages provide niches conducive to thr proliferation of a diverse array of psychrophilic bacterial species.</t>
  </si>
  <si>
    <t>UNIV TASMANIA,DEPT AGR SCI,HOBART,TAS 7001,AUSTRALIA</t>
  </si>
  <si>
    <t>Bowman, JP (corresponding author), UNIV TASMANIA,ANTARCTIC CRC,GPO BOX 252-80,HOBART,TAS 7001,AUSTRALIA.</t>
  </si>
  <si>
    <t>Bowman, John P./ABF-5108-2020; Bowman, John P/C-2414-2014</t>
  </si>
  <si>
    <t>Bowman, John P./0000-0002-4528-9333; Bowman, John P/0000-0002-4528-9333; Nichols, David/0000-0002-8066-3132</t>
  </si>
  <si>
    <t>10.1128/AEM.63.8.3068-3078.1997</t>
  </si>
  <si>
    <t>XP067</t>
  </si>
  <si>
    <t>WOS:A1997XP06700017</t>
  </si>
  <si>
    <t>Beyer, L; Blume, HP; Sorge, C; Schulten, HR; Erlenkeuser, H; Schneider, D</t>
  </si>
  <si>
    <t>Humus composition and transformations in a Pergelic Cryochemist of Coastal Antarctica</t>
  </si>
  <si>
    <t>HUMIC SUBSTANCES; ORGANIC-MATTER; SOILS; PYROLYSIS; RECOVERY</t>
  </si>
  <si>
    <t>Soil organic matter (SOM) of an Antarctic Pergelic Cryohemist was studied with special emphasis on soil formation processes under extreme climate conditions. An integrated approach using wet-chemical analyses, cross polarization magic angle spinning carbon-13 nuclear magnetic resonance spectroscopy (CPMAS C-13-NMR), and pyrolysis-field ionization mass spectrometry (Py-FIMS) was applied to characterize the SOM composition at different depths. Dead mosses material are the source of fresh organic matter for soil formation in the Pergelic Cryohemist. Polysaccharides are the primary organic compounds. This composition is very similar to that of litter from peat soils in temperate climate regions. In addition protein and alkyl carbon are found in the mosses, whereas in contrast to temperate climate zones lignin was of minor importance. The alkyl compounds consist of lipids, fatty acids, and sterols. A high amount of carboxyl groups probably develops from fatty acids and proteins and the aromatic structures mainly from aromatic amino acids. Changes in the SOM morphology were not confirmed with the classical wet chemical analysis but were confirmed by CPMAS-C-13-NMR and Py-FIMS. Carbohydrates are less mineralized than under temperate climate conditions. Alkyl carbon units are enriched due to selective preservation. During advanced humification the alkyl carbon units are probably incorporated into the complex humic matter. The drastic increase of alkyl-C with peat depth has been described also for peat soils in temperate climate zones. The aromatic structures identified demonstrate that lignin input is not necessary for the formation of aromatic humics. The chemical degradation of the organic matter is not as intensive as in soils of temperate climate regimes. The extremely cold climate conditions retard the transformation of fresh organic residues. Therefore in this Antarctic peaty soil, carbohydrates dominate in the composition of the SOM also in the deeper horizons.</t>
  </si>
  <si>
    <t>INST FRESENIUS,CHEM &amp; BIOL LABS,D-65232 TAUNUSSTEIN,GERMANY; CHRISTIAN ALBRECHTS UNIV KIEL,LEIBNITZ LAB RADIOMETR DATING &amp; ISOTOPE RES,D-24098 KIEL,GERMANY</t>
  </si>
  <si>
    <t>Beyer, L (corresponding author), CHRISTIAN ALBRECHTS UNIV KIEL,INST PLANT NUTR &amp; SOIL SCI,OLSHAUSENSTR 40,D-24098 KIEL,GERMANY.</t>
  </si>
  <si>
    <t>10.2307/1552152</t>
  </si>
  <si>
    <t>XU113</t>
  </si>
  <si>
    <t>WOS:A1997XU11300013</t>
  </si>
  <si>
    <t>Hood, WR; Ono, KA</t>
  </si>
  <si>
    <t>Variation in maternal attendance patterns and pup behaviour in a declining population of Steller sea lions (Eumetopias jubatus)</t>
  </si>
  <si>
    <t>ANTARCTIC FUR SEALS; EL-NINO; INVESTMENT</t>
  </si>
  <si>
    <t>Maternal attendance patterns of lactating female Steller sea lions (Eumetopias jubatus) and the activity budgets of pups on Ano Nuevo Island, California, were compared between the 1973 and 1992 breeding seasons to investigate temporal changes in behaviour that may be associated with population decline. Females were absent from the breeding area longer in 1992, which may reflect increased foraging effort. Pups also spent significantly less time sucking and more time swimming in 1992. Suckling time is correlated with milk intake in some otariid species, thus the decreased amount of time 1992 pups spent sucking could reflect a reduction in the total volume of milk produced by females. Pups in 1992 are likely to have spent more time swimming than pups in 1973 because high tide covered a greater proportion of the study site in 1992 than in 1973. An increase in time females spent at sea and a decrease in time pups spent sucking are consistent with behavioural changes associated with reduced prey availability.</t>
  </si>
  <si>
    <t>UNIV CALIF SANTA CRUZ,DEPT BIOL,SANTA CRUZ,CA 94564</t>
  </si>
  <si>
    <t>University of California System; University of California Santa Cruz</t>
  </si>
  <si>
    <t>Hood, Wendy/0000-0002-8398-3908</t>
  </si>
  <si>
    <t>10.1139/z97-146</t>
  </si>
  <si>
    <t>XP665</t>
  </si>
  <si>
    <t>WOS:A1997XP66500006</t>
  </si>
  <si>
    <t>Forster, PMD; Freckleton, RS; Shine, KP</t>
  </si>
  <si>
    <t>On aspects of the concept of radiative forcing</t>
  </si>
  <si>
    <t>ANTARCTIC OZONE HOLE; STRATOSPHERIC OZONE; CLIMATE; PERTURBATIONS; SENSITIVITY; BALANCE; MODEL</t>
  </si>
  <si>
    <t>The concept of radiative forcing has been extensively used as an indicator of the potential importance of climate change mechanisms. It allows a first order estimate of the global-mean surface temperature change; and it is possible to compare forcings from different mechanisms, on the assumption that similar global-mean forcings produce similar global-mean surface temperature changes. This study illustrates two circumstances where simple models show that the conventional definition of radiative forcing needs refining. These problems arise mainly with the calculation of forcing due to stratospheric ozone depletion. The first part uses simple arguments to produce an alternative definition of radiative forcing, using a time-dependent stratospheric adjustment method, which can give different forcings from those calculated using the standard definition. A seasonally varying ozone depletion can produce a quite different seasonal evolution of forcing than fixed dynamical heating arguments would suggest. This is especially true of an idealised and extreme ''Antarctic ozone hole'' type scenario where a sudden loss of ozone is followed by a sudden recovery. However, for observed ozone changes the annually averaged forcing is usually within 5% of the forcing calculated using the fixed dynamical heating approximation. Another problem with the accepted view of radiative forcing arises from the definition of the tropopause considered in the second part of this study. For a correct radiative forcing estimate the ''tropopause'' needs to separate the atmosphere into regions with a purely radiative response and those with a radiative-convective response. From radiative-convective model results it is found that radiative equilibrium conditions persist for several kilometres below the tropopause (the tropopause being defined as where the lapse rate reaches 2 K km(-1)). This region needs to be included in stratospheric adjustment calculations for an accurate calculation of forcing, as it is only the region between the surface and the top of the convection that can be considered as a single, forced, system. Including temperature changes in this region has a very large effect on stratospheric ozone forcing estimates, and can reduce the magnitude of the forcing by more than a factor of two. Although these experiments are performed using simple climate models, the results are of equal importance for the analysis of forcing-response relationships using general circulation models.</t>
  </si>
  <si>
    <t>Forster, PMD (corresponding author), UNIV READING,DEPT METEOROL,POB 239,READING RG6 6BB,BERKS,ENGLAND.</t>
  </si>
  <si>
    <t>Forster, Piers/F-9829-2010; Shine, Keith/D-9093-2012</t>
  </si>
  <si>
    <t>Forster, Piers/0000-0002-6078-0171; Shine, Keith/0000-0003-2672-9978</t>
  </si>
  <si>
    <t>10.1007/s003820050182</t>
  </si>
  <si>
    <t>XX047</t>
  </si>
  <si>
    <t>WOS:A1997XX04700006</t>
  </si>
  <si>
    <t>Cashon, RE; Vayda, ME; Sidell, BD</t>
  </si>
  <si>
    <t>Kinetic characterization of myoglobins from vertebrates with vastly different body temperatures</t>
  </si>
  <si>
    <t>4th International Congress of Comparative Physiology and Biochemistry</t>
  </si>
  <si>
    <t>AUG 06-11, 1995</t>
  </si>
  <si>
    <t>myoglobin; teleost; kinetics; auto-oxidation; oxygen affinity</t>
  </si>
  <si>
    <t>ANGSTROM RESOLUTION; HUMAN HEMOGLOBIN; D-HELIX; FISH; MUSCLE; TUNA; METMYOGLOBIN; DERIVATIVES; REFINEMENT; DIFFUSION</t>
  </si>
  <si>
    <t>Fish myoglobins are structurally distinct from the previously characterized mammalian myoglobins. Teleost fishes express generally lower levels of myoglobin than those found in mammals. Although the oxygen binding affinity is essentially the same as mammalian myoglobins, oxygen dissociation rates and carbon monoxide combination rates of the teleost myoglobins studied are significantly faster. Thus, the kinetic parameters of myoglobin from two Antarctic teleost species, measured close to their body temperature of -1 degrees C, are comparable to those of mammalian myoglobins with higher body temperatures. These data suggest myoglobins from Antarctic teleosts may function at extreme environmental temperatures. (C) 1997 Elsevier Science Inc.</t>
  </si>
  <si>
    <t>UNIV MAINE,DEPT ZOOL,ORONO,ME 04469; UNIV MAINE,DEPT BIOCHEM MICROBIOL &amp; MOL BIOL,ORONO,ME 04469; UNIV MAINE,SCH MARINE SCI,ORONO,ME 04469</t>
  </si>
  <si>
    <t>University of Maine System; University of Maine Orono; University of Maine System; University of Maine Orono; University of Maine System; University of Maine Orono</t>
  </si>
  <si>
    <t>10.1016/S0305-0491(97)00011-4</t>
  </si>
  <si>
    <t>XR449</t>
  </si>
  <si>
    <t>WOS:A1997XR44900020</t>
  </si>
  <si>
    <t>Lampitt, RS; Antia, AN</t>
  </si>
  <si>
    <t>Particle flux in deep seas: regional characteristics and temporal variability</t>
  </si>
  <si>
    <t>PARTICULATE ORGANIC-CARBON; NORTH-ATLANTIC OCEAN; SEDIMENT TRAP DATA; SARGASSO SEA; PACIFIC-OCEAN; VERTICAL FLUX; SURFACE-OCEAN; SEASONALITY; PRODUCTIVITY; MATTER</t>
  </si>
  <si>
    <t>Particle flux data have been collated from the literature representing most areas of the open ocean to determine regional trends in deep water flux and its seasonal variability. Organic carbon flux data normalised to a depth of 2000 m exhibits a range of an order of magnitude in areas outside the polar domains (0.38 to 4.2 g/m(2)/y). In polar regions the range is wider (0.01-5.9 g/m(2)/y). Latitudinal trends are not apparent for most components of the flux although calcite flux exhibits a poleward decrease. Limited data from polar regions show fluxes of opaline silica not significantly higher than elsewhere. The variability of flux over annual cycles was calculated and expressed as a Flux Stability Index (FSI) and the relationship between this and vertical flux of material examined. Somewhat surprisingly there is no significant relationship between FSI and fluxes of dry mass, organic carbon, inorganic carbon or opaline silica. At each site, net annual primary production was determined using published satellite derived estimates. There is a negative but weak relationship between FSI and the proportion of primary production exported to 2000 m (e(2000) ratio). The most variable of the nonpolar environments export to 2000 m about twice as much of the primary production as the most stable ones. Polar environments have very low e(2000) ratios with no apparent relationship to FSI. At primary production levels below 200 g C/m(2)/y there is a positive correlation between production and organic carbon flux at 2000 m but above this level, flux remains constant at about 3.5g C/m(2)/y. A curve derived to describe this relationship was applied to estimates of annual primary production in each of 34 of the open ocean biogeochemical provinces proposed by Longhurst et al. (1995). Globally, open ocean flux of organic carbon at 2000 m is 0.34 Gt/yr which is 1% of the total net primary production in these regions. This flux is nearly equally divided between the Atlantic, Pacific and Southern Oceans. The Indian and Arctic oceans between them only contribute 5% to the total. The eight planktonic climatological categories proposed by Longhurst (1995) provide a most useful means of examining the data on flux and its variability. A characteristic level of FSI was found in each category with highest levels in the tropics and lowest levels in the Antarctic. There is also a characteristic level of export ratio in each category with the highest in monsoonal environments (1.7%) and the lowest in Antarctica (0.1%). (C) 1997 Elsevier Science Ltd.</t>
  </si>
  <si>
    <t>SOUTHAMPTON OCEANOG CTR, EMPRESS DOCK, SOUTHAMPTON SO14 ZH, HANTS, ENGLAND.</t>
  </si>
  <si>
    <t>10.1016/S0967-0637(97)00020-4</t>
  </si>
  <si>
    <t>YD207</t>
  </si>
  <si>
    <t>WOS:A1997YD20700006</t>
  </si>
  <si>
    <t>Udintsev, GB; Schenke, HW; Kol'tsova, AV; Knyazev, AB</t>
  </si>
  <si>
    <t>The rifts of the Western Antarctic</t>
  </si>
  <si>
    <t>VI Vernadskii Inst Geochem &amp; Analyt Chem, Moscow 117975, Russia; Alfred Wegener Inst Polar &amp; Marine Res, D-2850 Bremerhaven, Germany</t>
  </si>
  <si>
    <t>Russian Academy of Sciences; Vernadsky Institute of Geochemistry &amp; Analytical Chemistry; Helmholtz Association; Alfred Wegener Institute, Helmholtz Centre for Polar &amp; Marine Research</t>
  </si>
  <si>
    <t>Udintsev, GB (corresponding author), VI Vernadskii Inst Geochem &amp; Analyt Chem, Moscow 117975, Russia.</t>
  </si>
  <si>
    <t>MAIK NAUKA/INTERPERIODICA/SPRINGER</t>
  </si>
  <si>
    <t>233 SPRING ST, NEW YORK, NY 10013-1578 USA</t>
  </si>
  <si>
    <t>YH180</t>
  </si>
  <si>
    <t>WOS:000070603200027</t>
  </si>
  <si>
    <t>Livermore, R; Cunningham, A; Vanneste, L; Larter, R</t>
  </si>
  <si>
    <t>Subduction influence on magma supply at the East Scotia Ridge</t>
  </si>
  <si>
    <t>magma chambers; back-arc basins; sea-floor spreading; subduction; Scotia Sea</t>
  </si>
  <si>
    <t>ARC SPREADING CENTER; VALU-FA-RIDGE; PACIFIC RISE; MIDOCEAN RIDGES; CHAMBER BENEATH; LAU BASIN; PROPAGATING RIFTS; PLATE-TECTONICS; SEA; AXIS</t>
  </si>
  <si>
    <t>Despite a spreading rate of 65-70 km Ma(-1), the East Scotia Ridge has, along most of its length, a form typically associated with slower rates of sea floor spreading. This may be a consequence of cooler than normal mantle upwelling, which could be a feature of back-are spreading. At the northern end of the ridge, recently acquired sonar data show a complex, rapidly evolving pattern of extension within 100 km of the South Sandwich Trench. New ridge segments appear to be nucleating at or near the boundary between the South American and Scotia Sea plates and propagating southwards, supplanting older segments. The most prominent of these, north of 56 degrees 30'S, has been propagating at a rate of approximately 60 km Ma(-1) for at least 1 Ma, and displays a morphology unique on this plate boundary. A 40 km long axial high exists at the centre of this segment, forming one of the shallowest sections of the East Scotia Ridge. Beneath it, seismic reflection profiles reveal an axial magma chamber, or AMC, reflector, similar to those observed beneath the East Pacific Rise and Valu Fa Ridge. Simple calculations indicate the existence here of a narrow (&lt;1 km wide) body of melt at a depth of approximately 3 km beneath the sea floor. From the topographic and seismic data, we deduce that a localised mantle melting anomaly lies beneath this segment. Rates of spreading in the east Scotia Sea show Little variation along axis. Hence, the changes in melt supply are related to the unique tectonic setting, in which the South American plate is tearing to the east, perhaps allowing mantle flow around the end of the subducting slab. Volatiles released from the torn plate edge and entrained in the flow are a potential cause of the anomalous melting observed. A southward mantle flow may have existed beneath the axis of the East Scotia Ridge throughout its history. (C) 1997 Elsevier Science B.V.</t>
  </si>
  <si>
    <t>Livermore, R (corresponding author), BRITISH ANTARCTIC SURVEY,HIGH CROSS,MADINGLEY RD,CAMBRIDGE CB3 0ET,ENGLAND.</t>
  </si>
  <si>
    <t>Livermore, Roy/M-1566-2019</t>
  </si>
  <si>
    <t>10.1016/S0012-821X(97)00074-5</t>
  </si>
  <si>
    <t>XZ779</t>
  </si>
  <si>
    <t>WOS:A1997XZ77900007</t>
  </si>
  <si>
    <t>Bard, E; Raisbeck, GM; Yiou, F; Jouzel, J</t>
  </si>
  <si>
    <t>Solar modulation of cosmogenic nuclide production over the last millennium: comparison between C-14 and Be-10 records</t>
  </si>
  <si>
    <t>solar activity; climate; cosmogenic elements; Be-10; C-14/C-12; modern</t>
  </si>
  <si>
    <t>GLOBAL CARBON-CYCLE; PAST 30,000 YEARS; MAUNDER MINIMUM; CLIMATE-CHANGE; BRIGHTNESS CHANGES; OCEAN CIRCULATION; ATMOSPHERIC C-14; ANTARCTIC ICE; VARIABILITY; IRRADIANCE</t>
  </si>
  <si>
    <t>For about the last 30 years it has been recognized that the high frequency component of the tree rings C-14/C-12 record is dominated by the modulation of the cosmic ray flux by the solar wind. In particular, it has been demonstrated that the three most recent periods of low sunspot occurrence were characterized by high values of atmospheric C-14/C-12. During the last millennium other periods of high C-14/C-12 Values were observed but their solar origin is still debatable. In the present work we compare these fluctuations with an independent record of cosmogenic Be-10 measured in ice from the South Pole to check the solar origin of the observed C-14/C-12 variations. In order to compare quantitatively the results obtained on Be-10 and C-14, it is necessary to take into account the different behaviour of these two cosmogenic isotopes, and especially the damping effect of the carbon cycle in the case of C-14. As an input to a 12-box numerical model we used the relative fluctuations of the Be-10 concentrations record measured in South Pole ice and converted it into a synthetic C-14 record. We took into account the fact that Be-10 modulation is enhanced in polar regions due to the orientation of the geomagnetic field. As expected, the fluctuations of the modelled C-14 record are much smaller (a factor of 20) than those observed for the raw Be-10 record. In addition, the variations are smoother and shifted in time by a few decades. The Be-10-based C-14 variations closely resemble the C-14 measurements obtained on tree rings (R = 0.81). In particular, it is easy to identify periods of maximal C-14/C-12 which correspond to solar activity minima centred at about 1060, 1320 (Wolf), 1500 (Sporer), 1690 (Maunder) and 1820 (Dalton) yr A.D. Cross-correlation calculations suggest that there is no significant lag between the Be-10-based C-14 and the tree-ring C-14 records. Our study strongly suggests the dominance of the solar modulation on the cosmonuclide production variations during the last millennium. (C) 1997 Elsevier Science B.V.</t>
  </si>
  <si>
    <t>CTR SPECTROMETRIE NUCL &amp; SPECTROMETRIE MASSE,IN2P3,CNRS,F-91405 ORSAY,FRANCE; CEA,DSM,LMCE,LAB MODELISAT CLIMAT &amp; ENVIRONM,F-91191 GIF SUR YVETTE,FRANCE</t>
  </si>
  <si>
    <t>Universite Paris Saclay; Centre National de la Recherche Scientifique (CNRS); CNRS - National Institute of Nuclear and Particle Physics (IN2P3); Universite Paris Saclay; CEA</t>
  </si>
  <si>
    <t>Bard, E (corresponding author), UNIV AIX MARSEILLE 3,CERGE,CNRS,FR6094,UMR6536,EUROPOLE DE LARBOIS,BP 80,F-13545 AIX PROVENCE 4,FRANCE.</t>
  </si>
  <si>
    <t>Bard, Edouard/G-7717-2014</t>
  </si>
  <si>
    <t>10.1016/S0012-821X(97)00082-4</t>
  </si>
  <si>
    <t>WOS:A1997XZ77900020</t>
  </si>
  <si>
    <t>Grad, M; Shiobara, H; Janik, T; Guterch, A; Shimamura, H</t>
  </si>
  <si>
    <t>Crustal model of the Bransfield Rift, West Antarctica, from detailed OBS refraction experiments</t>
  </si>
  <si>
    <t>GEOPHYSICAL JOURNAL INTERNATIONAL</t>
  </si>
  <si>
    <t>Bransfield Rift; crustal structure; OBS refraction experiment; seismic modelling; West Antarctica</t>
  </si>
  <si>
    <t>PENINSULA; MARGIN; PLATE</t>
  </si>
  <si>
    <t>The first detailed deep seismic refraction study in the Bransfield Strait, West Antarctica, using sensitive OBSs (ocean bottom seismographs) was carried out successfully during the Antarctic summer of 1990/1991. The experiment focused on the deep crustal structure beneath the axis of the Bransfield Rift. Seismic profile DSS-20 was located exactly in the Bransfield Trough, which is suspected to be a young rift system. Alone the profile, five OBSs were deployed at spacings of 50-70 km. 51 shots were fired along the 310 km profile. This paper gives the first presentation of the results, A detailed model of the crustal structure was obtained by modelling the observed traveltimes and amplitudes using a 2-D ray-tracing technique, The uppermost (sedimentary?) cover, with velocities of 2.0-5.5 km s(-1), reaches a depth of up to 8 km. Below this, a complex with velocities of 6.4-6.8 km s(-1) is observed. The presence of a high-velocity body, with V-p=7.3-7.7 km s(-1), was detected in the 14-32 km depth range in the central part of the profile. These inhomogeneities can be interpreted as a stage of backarc spreading and stretching of the continental crust, coinciding with the Deception-Bridgeman volcanic line. Velocities oi. 8.1 km s(-1), characteristic of the Moho, are observed along the profile at a depth of 30-32 km.</t>
  </si>
  <si>
    <t>HOKKAIDO UNIV,FAC SCI,LAB OCEAN BOTTOM SEISMOL,SAPPORO,HOKKAIDO 060,JAPAN; POLISH ACAD SCI,INST GEOPHYS,PL-01452 WARSAW,POLAND</t>
  </si>
  <si>
    <t>Hokkaido University; Polish Academy of Sciences; Institute of Geophysics of the Polish Academy of Sciences</t>
  </si>
  <si>
    <t>Grad, M (corresponding author), WARSAW UNIV,INST GEOPHYS,PASTEURA 7,PL-02093 WARSAW,POLAND.</t>
  </si>
  <si>
    <t>Janik, Tomasz/AAZ-8460-2021</t>
  </si>
  <si>
    <t>Janik, Tomasz/0000-0002-5915-9740</t>
  </si>
  <si>
    <t>0956-540X</t>
  </si>
  <si>
    <t>GEOPHYS J INT</t>
  </si>
  <si>
    <t>Geophys. J. Int.</t>
  </si>
  <si>
    <t>10.1111/j.1365-246X.1997.tb05665.x</t>
  </si>
  <si>
    <t>XR102</t>
  </si>
  <si>
    <t>WOS:A1997XR10200019</t>
  </si>
  <si>
    <t>Priscu, JC</t>
  </si>
  <si>
    <t>The biogeochemistry of nitrous oxide in permanently ice-covered lakes of the McMurdo Dry Valleys, Antarctica</t>
  </si>
  <si>
    <t>Antarctic lakes; atmospheric flux; biogeochemistry; nitrous oxide</t>
  </si>
  <si>
    <t>LOW OXYGEN CONCENTRATIONS; GAS-EXCHANGE; N2O; EMISSIONS; NITRIFICATION; OCEAN; SEA; DENITRIFICATION; BACTERIA; WATER</t>
  </si>
  <si>
    <t>This manuscript presents an overview of published work on nitrous oxide in the permanently ice-covered lakes of the McMurdo Dry Valleys, Antarctica One of these lakes contains the highest concentration of nitrous oxide reported for natural aquatic systems (&gt; 500 000% with respect to the global average mixing ratio in air). Recent data on nitrous oxide from the major lakes in this region of Antarctica are used to draw general conclusions regarding sources and sinks for this gas within the liquid water column, and to estimate exchanges with the atmosphere. Nitrous oxide maxima are usually found in regions where oxygen concentrations and redox potentials are decreasing (i.e. where high gradients exist); nitrous oxide is virtually absent in anoxic, and very low redox zones. These trends, together with positive relationships between apparent oxygen utilization (AOU) and apparent nitrous oxide production (ANP) indicate that nitrous oxide is primarily a product of nitrification; experiments showed that denitrification is a sink for this gas in anoxic water. ANP/AOU ratios are several orders of magnitude higher than that for the ocean. Yield ratios for nitrous oxide [ANP/(NO2- + NO3-)] averaged 4.2% (i.e. 1 atom of N appears in nitrous oxide for every 24 atoms appearing in oxidized N), greatly exceeding existing reports for pelagic systems, being similar to that from reduced sediments. Production and consumption rates, computed with a one-dimensional diffusion model, ranged from 0 to 5.3 nM-N d(-1) and 0-2.7 nM-N d(-1), respectively. Rates were usually greatest in the region of largest oxygen and inorganic nitrogen gradients. Turnover times averaged 2917 and 1277 years for production and consumption which is in the range of the mixing times for the lakes. Areal flux from the lakes to the atmosphere (6.17 gN m(-2) y(-1)) is several hundred times greater than areal fluxes reported for oceanic systems. Owing to the relatively small combined surface area of these lakes, absolute atmospheric transfer (1.2 x 10(5) gN y(-1)) is only a small fraction of annual global emission.</t>
  </si>
  <si>
    <t>MONTANA STATE UNIV, DEPT BIOL, BOZEMAN, MT 59717 USA.</t>
  </si>
  <si>
    <t>1365-2486</t>
  </si>
  <si>
    <t>GLOBAL CHANGE BIOL</t>
  </si>
  <si>
    <t>10.1046/j.1365-2486.1997.00147.x</t>
  </si>
  <si>
    <t>XQ838</t>
  </si>
  <si>
    <t>WOS:A1997XQ83800002</t>
  </si>
  <si>
    <t>Gremillet, D</t>
  </si>
  <si>
    <t>Catch per unit effort, foraging efficiency, and parental investment in breeding great cormorants (Phalacrocorax carbo carbo)</t>
  </si>
  <si>
    <t>ICES JOURNAL OF MARINE SCIENCE</t>
  </si>
  <si>
    <t>ICES International Symposium on Seabirds in the Marine Environment</t>
  </si>
  <si>
    <t>NOV 22-24, 1996</t>
  </si>
  <si>
    <t>GLASGOW, SCOTLAND</t>
  </si>
  <si>
    <t>Ashmole's halo; catch per unit effort; daily food intake; foraging efficiency; parental investment; Phalacrocorax</t>
  </si>
  <si>
    <t>ANTARCTIC FUR SEALS; SPHENISCUS-DEMERSUS; ENERGETICS; BEHAVIOR; PENGUINS; SINENSIS; BIRDS; ARISTOTELIS</t>
  </si>
  <si>
    <t>The feeding ecology of breeding great cormorants (Phalacrocorax carbo carbo) was studied in 8 males and 6 females using automatic nest-balances and a radio-tracking system. Birds were shown to be extremely efficient predators with median catch per unit effort of 15.2 g of fish taken per minute spent underwater (n=89; gross foraging efficiency 3.25) in males and 9.0 g min(-1) in females (n=91; gross foraging efficiency 3.46). Mean daily food intake was also high (828 +/- 166 g, n=7 in males and 829 +/- 271 g, n=6 in females) and was positively related to brood biomass. Catch per unit effort was not related to foraging range, showing that birds do not tend to visit distant foraging areas to compensate for prey stock depletion around the breeding site. Furthermore, breeding adults responded to increasing food requirements of the brood by increasing the number of foraging trips per day, but maintained constant foraging effort, load size and catch per unit effort. Parents thus increased their overall foraging effort and food intake but kept their body mass constant.</t>
  </si>
  <si>
    <t>Gremillet, D (corresponding author), CHRISTIAN ALBRECHTS UNIV KIEL,INST MEERESKUNDE,DUSTERNBROOKER WEG 20,D-24105 KIEL,GERMANY.</t>
  </si>
  <si>
    <t>Gremillet, David/W-1946-2018</t>
  </si>
  <si>
    <t>Gremillet, David/0000-0002-7711-9398</t>
  </si>
  <si>
    <t>24-28 OVAL RD, LONDON, ENGLAND NW1 7DX</t>
  </si>
  <si>
    <t>1054-3139</t>
  </si>
  <si>
    <t>ICES J MAR SCI</t>
  </si>
  <si>
    <t>ICES J. Mar. Sci.</t>
  </si>
  <si>
    <t>10.1006/jmsc.1997.0250</t>
  </si>
  <si>
    <t>XU448</t>
  </si>
  <si>
    <t>WOS:A1997XU44800015</t>
  </si>
  <si>
    <t>Nunez, M; Michael, K; Turner, D; Wall, M; Nilsson, C</t>
  </si>
  <si>
    <t>A satellite-based climatology of UV-B irradiance for Antarctic coastal regions</t>
  </si>
  <si>
    <t>Antarctica; sea-ice; radiation model; neural network; cloud; satellite; NOAA-AVHRR; ozone; ultraviolet radiation; UV-B radiance</t>
  </si>
  <si>
    <t>EFFECTIVE ULTRAVIOLET-RADIATION; SOLAR-RADIATION; EARTHS SURFACE; TOTAL OZONE; OCEAN SURFACE; ALBEDO; CLOUDS; MODEL; WAVELENGTHS; ENVIRONMENT</t>
  </si>
  <si>
    <t>A technique is described to map surface UV-B irradiance (erythemal ultraviolet irradiance) for a section of the Antarctic coast bounded by latitudes 54 degrees-69 degrees S; 140 degrees-160 degrees E. Daily NOAA/AVHRR images have been acquired for this region over four consecutive austral spring, summer and autumn season (November-April), starting in 1990. A model developed by Green et al. is applied to estimate cloudless erythemal irradiances using cosine estimates from TOMS and surface albedo from NOAA/AVHRR. Cloudy irradiances are estimated as the product of the cloudless irradiance and a cloud transmittance derived from satellite imagery. When the model estimates were compared with surface measurements at Hobart, Tasmania and Davis, Antarctica, it was found that the root mean square (RMS) differences (model - measurements) for clear skies were equal to 5.7 per cent of the mean measured value, whereas for cloudy skies the RMS differences were 13.6 per cent of the mean for daily totals; and 4.2 per cent of the mean for monthly averages. Monthly statistics are presented as average monthly cloudless irradiance, average monthly cloudy irradiance and a 'worst case' monthly irradiance. Considerable interannual variability is observed in the 'worst case' monthly irradiance. Depletion by clouds is very significant and is larger than interannual variability in ozone depletion. The effect of clouds is minimum at 55 degrees S and increases polewards to reach maximum values at the edge of the pack ice. Further to the south, cloud depletion decreases due to the moderating effect of the high surface albedo for snow and ice. (C) 1997 by the Royal Meteorological Society.</t>
  </si>
  <si>
    <t>UNIV TASMANIA,INST ANTARCTIC &amp; SO OCEAN STUDIES,HOBART,TAS 7001,AUSTRALIA; CSIRO,DIV OCEANOG,HOBART,TAS 7001,AUSTRALIA</t>
  </si>
  <si>
    <t>Nunez, M (corresponding author), UNIV TASMANIA,ANTARCTIC CRC,DEPT GEOG &amp; ENVIRONM STUDIES,GPO BOX 252C-80,HOBART,TAS 7001,AUSTRALIA.</t>
  </si>
  <si>
    <t>Michael, Kelvin/J-7217-2014; Turner, Darren/O-4839-2017</t>
  </si>
  <si>
    <t>Michael, Kelvin/0000-0002-5427-7393; Turner, Darren/0000-0002-3029-6717</t>
  </si>
  <si>
    <t>10.1002/(SICI)1097-0088(199708)17:10&lt;1029::AID-JOC168&gt;3.0.CO;2-9</t>
  </si>
  <si>
    <t>XU495</t>
  </si>
  <si>
    <t>WOS:A1997XU49500002</t>
  </si>
  <si>
    <t>Papadakis, I; Taylor, PDP; DeBievre, P</t>
  </si>
  <si>
    <t>Establishing an SI-traceable copper concentration in the candidate reference material MURST ISS A1 Antarctic sediment using isotope dilution applied as a primary method of measurement</t>
  </si>
  <si>
    <t>traceability; primary method; isotope dilution mass spectrometry; copper isotope ratio; inductively coupled plasma mass spectrometry; SiCl+ interference; Antarctic sediment</t>
  </si>
  <si>
    <t>MASS-SPECTROMETRY</t>
  </si>
  <si>
    <t>Traceability is a term that is heavily debated world-wide in the analytical chemistry community. This paper describes an attempt to obtain an SI-traceable value for the Cu concentration in the Candidate Reference Material MURST-ISS A1 Antarctic Sediment. This material was collected by the Institute Superiore di Sanita (ISS, Rome, Italy) and was processed at the Institute for Reference Materials and Measurements (IRMM, Geel, Belgium) into a homogeneous and dried powder. The analytical method used was isotope dilution (ID) combined with inductively coupled plasma mass spectrometry (ICP-MS). Microwave pressurised digestion and separation of Cu by ion-exchange chromatography were used. The International Vocabulary of Basic and General Terms in Metrology (VIM) definition of traceability requires 'stated uncertainties'. Because a primary method of measurement (ID) is used, an attempt was made to make these 'stated uncertainties' as detailed as possible, thereby using the International Organisation for Standardization (ISO)/Bureau International des Poids et Measures (BIPM) guide and taking into account all possible sources of uncertainty (Type A and Type B). The established value for the Co concentration is 86.7 nmol g(-1) with an expanded uncertainty of 4.9 nmol g(-1) (coverage factor k=2).</t>
  </si>
  <si>
    <t>Papadakis, I (corresponding author), COMMISS EUROPEAN COMMUNITIES,JOINT RES CTR,INST REFERENCE MAT &amp; MEASUREMENTS,B-2440 GEEL,BELGIUM.</t>
  </si>
  <si>
    <t>THOMAS GRAHAM HOUSE, SCIENCE PARK, MILTON ROAD, CAMBRIDGE, CAMBS, ENGLAND CB4 4WF</t>
  </si>
  <si>
    <t>10.1039/a700750g</t>
  </si>
  <si>
    <t>XR717</t>
  </si>
  <si>
    <t>WOS:A1997XR71700002</t>
  </si>
  <si>
    <t>Meredith, MP; Vassie, JM; Spencer, R; Heywood, KJ</t>
  </si>
  <si>
    <t>The processing and application of inverted echo sounder data from drake passage</t>
  </si>
  <si>
    <t>JOURNAL OF ATMOSPHERIC AND OCEANIC TECHNOLOGY</t>
  </si>
  <si>
    <t>ANTARCTIC CIRCUMPOLAR CURRENT; EASTERN EQUATORIAL PACIFIC; BOTTOM PRESSURE; TRANSPORT; FRONTS; WIND</t>
  </si>
  <si>
    <t>Bottom pressure recorders (BPRs) have been deployed at Drake Passage (DP) to monitor changes in the volume transport of the Antarctic Circumpolar Current (ACC) through the passage. The use of inverted echo sounders (IESs) in assisting the interpretation of the BPR data is presented. The initial data processing of the IES data is outlined, and the accuracy of the data described. The most significant limitation on the application of the data is the presence of a sea-stare bias with a root-mean-square value of around 0.4 ms. IES data are shown to perform well at determining whether individual changes in bottom pressure are due to changes in cross-passage-averaged barotropic transport or due to the effect of meanders, eddies, and/or lateral shifts of ACC fronts. The conversion of acoustic travel time to more useful oceanographic parameters (dynamic height, baroclinic pressure, inverse-barometer-corrected sea level) is described. A method for improving the performance of very deep bottom pressure in monitoring ACC barotropic transport changes is described for the case where the BPR-IES instrumentation is deployed near an ACC front. Reasons for the inability of this method to improve the ability of shallower pressure records in monitoring the ACC are discussed, and suggestions for future refinements are outlined.</t>
  </si>
  <si>
    <t>BIDSTON OBSERV,PROUDMAN OCEANOG LAB,BIRKENHEAD L43 7RA,MERSEYSIDE,ENGLAND; UNIV E ANGLIA,SCH ENVIRONM SCI,NORWICH NR4 7TJ,NORFOLK,ENGLAND</t>
  </si>
  <si>
    <t>NERC National Oceanography Centre; University of East Anglia</t>
  </si>
  <si>
    <t>Heywood, Karen J/L-1757-2016</t>
  </si>
  <si>
    <t>0739-0572</t>
  </si>
  <si>
    <t>J ATMOS OCEAN TECH</t>
  </si>
  <si>
    <t>J. Atmos. Ocean. Technol.</t>
  </si>
  <si>
    <t>10.1175/1520-0426(1997)014&lt;0871:TPAAOI&gt;2.0.CO;2</t>
  </si>
  <si>
    <t>Engineering, Ocean; Meteorology &amp; Atmospheric Sciences</t>
  </si>
  <si>
    <t>Engineering; Meteorology &amp; Atmospheric Sciences</t>
  </si>
  <si>
    <t>XN532</t>
  </si>
  <si>
    <t>WOS:A1997XN53200009</t>
  </si>
  <si>
    <t>Yonei, T; Ymamoto, K; Kishimoto, H; Hagino, H; Katagiri, H</t>
  </si>
  <si>
    <t>Bone mass and metabolism in the Antarctic.</t>
  </si>
  <si>
    <t>JOURNAL OF BONE AND MINERAL RESEARCH</t>
  </si>
  <si>
    <t>TOTTORI UNIV,FAC MED,YONAGO,TOTTORI 683,JAPAN</t>
  </si>
  <si>
    <t>Tottori University</t>
  </si>
  <si>
    <t>0884-0431</t>
  </si>
  <si>
    <t>J BONE MINER RES</t>
  </si>
  <si>
    <t>J. Bone Miner. Res.</t>
  </si>
  <si>
    <t>T575</t>
  </si>
  <si>
    <t>XP627</t>
  </si>
  <si>
    <t>WOS:A1997XP62700568</t>
  </si>
  <si>
    <t>Marsigliante, S; Acierno, R; Maffia, M; Muscella, A; Vinson, GP; Storelli, C</t>
  </si>
  <si>
    <t>Immunolocalisation of angiotensin II receptors in icefish (Chionodraco hamatus) tissues</t>
  </si>
  <si>
    <t>JOURNAL OF ENDOCRINOLOGY</t>
  </si>
  <si>
    <t>SALMO-GAIRDNERI; RAINBOW-TROUT; AT1 RECEPTOR; BINDING; ANTIBODY; SUBTYPES; DISTINCT; SYSTEM</t>
  </si>
  <si>
    <t>The monoclonal antibody 6313/G2 raised against the mammalian type I (AT1) angiotensin II (Ang II) receptor (Ang II-R) also recognises a component in teleost (eel) tissue preparations that binds radiolabelled Ang II, and has an isoelectric point (pI) of 6.5 and molecular mass of 75 kDa. Immunohistochemical analysis using this antibody showed specific binding sites in eel intestine, kidney, pill and liver sections. The same antibody was used here to evaluate the presence and distribution of Ang II-R in target tissues of the Antarctic teleost icefish (Chionodraco hamatus). Immunocytochemistry of intestine and gill sections showed that the antibody bound to uniformly distributed intracellular sites and cell surface membranes in absorptive cells in the intestine and chloride and pavement cells in the gills. It also stained endothelium and both the longitudinal and circular layers of smooth muscle cells in the intestine. In the kidney, only the tubules in the trunk stained positively while the head (atubular part of the kidney) was negative. In kidney tubules, in contrast with other tissues, the receptor was most concentrated in the cytoplasm underlying the basolateral membranes, with somewhat weaker staining beneath the apical cell membrane. Immunoblotting identified a single component from trunk kidney preparations that focused at pI 5.9 in isoelectric focusing gels and showed a molecular mass of 75 kDa in SDS-polyacrylamide gels. The data suggest that, as in other teleosts, Ang II has a physiological role in the icefish.</t>
  </si>
  <si>
    <t>UNIV LONDON QUEEN MARY &amp; WESTFIELD COLL, DEPT BIOCHEM, LONDON E1 4NS, ENGLAND</t>
  </si>
  <si>
    <t>University of London; Queen Mary University London</t>
  </si>
  <si>
    <t>UNIV LECCE, DIPARTIMENTO BIOL, LAB FISIOL, VIA PROV PER MONTERONI, I-73100 LECCE, ITALY.</t>
  </si>
  <si>
    <t>MAFFIA, MICHELE/AAC-2943-2020; Muscella, Antonella/AAE-8075-2019; MARSIGLIANTE, Santo/KBR-1079-2024; Muscella, Antonella/B-2630-2013</t>
  </si>
  <si>
    <t>Muscella, Antonella/0000-0002-2822-9929; MARSIGLIANTE, Santo/0000-0001-6535-3286;</t>
  </si>
  <si>
    <t>BIOSCIENTIFICA LTD</t>
  </si>
  <si>
    <t>BRISTOL</t>
  </si>
  <si>
    <t>EURO HOUSE, 22 APEX COURT WOODLANDS, BRADLEY STOKE, BRISTOL BS32 4JT, ENGLAND</t>
  </si>
  <si>
    <t>0022-0795</t>
  </si>
  <si>
    <t>1479-6805</t>
  </si>
  <si>
    <t>J ENDOCRINOL</t>
  </si>
  <si>
    <t>J. Endocrinol.</t>
  </si>
  <si>
    <t>10.1677/joe.0.1540193</t>
  </si>
  <si>
    <t>XP238</t>
  </si>
  <si>
    <t>WOS:A1997XP23800002</t>
  </si>
  <si>
    <t>Hader, DP; Lebert, M; Tahedl, H; Richter, P</t>
  </si>
  <si>
    <t>The Erlanger flagellate test (EFT): photosynthetic flagellates in biological dosimeters</t>
  </si>
  <si>
    <t>JOURNAL OF PHOTOCHEMISTRY AND PHOTOBIOLOGY B-BIOLOGY</t>
  </si>
  <si>
    <t>2nd International Workshop of Biological UV Dosimetry</t>
  </si>
  <si>
    <t>AUG 28-30, 1996</t>
  </si>
  <si>
    <t>bioassay; Euglena gracilis; solar radiation; UVB</t>
  </si>
  <si>
    <t>ANTARCTIC OZONE HOLE; UV-B RADIATION; EUGLENA-GRACILIS; GREEN FLAGELLATE; ACTION SPECTRA; GRAVITACTIC ORIENTATION; PHOTORECEPTOR PROTEINS; ULTRAVIOLET-RADIATION; PARAFLAGELLAR BODY; POLAR VORTEX</t>
  </si>
  <si>
    <t>The Erlanger flagellate test (EFT) is based on the green unicellular flagellate Euglena gracilis. The organisms are cultivated in minimal medium and used in their stationary growth phase. In order to quantify the effects of toxic substances or solar UV radiation, several physiological parameters are assayed, including motility (percentage of motile cells), swimming velocity, precision of gravitaxis and cell shape. These parameters are highly sensitive to external factors, making this organism an ideal bioassay for a number of toxic substances and UV radiation. The test has been automated using real time image analysis, and the responses have been calibrated. In order to determine the effects of solar UV radiation, the organisms are exposed under different cut-off filters for predetermined periods of time to solar radiation at locations at which physical measurements of radiation are performed simultaneously. The bioassay has been tested extensively for the monitoring of both artificial UV and solar radiation (Greece, Sardinia, Spain, Italy, Sweden, Germany) and for the determination of the toxic effects of heavy metal ions (cadmium, lead, mercury, etc.) and other organic pollutants. (C) 1997 Elsevier Science S.A.</t>
  </si>
  <si>
    <t>Hader, DP (corresponding author), UNIV ERLANGEN NURNBERG, INST BOT &amp; PHARMAZEUT BIOL, STAUDTSTR 5, D-91058 ERLANGEN, GERMANY.</t>
  </si>
  <si>
    <t>ELSEVIER SCIENCE SA</t>
  </si>
  <si>
    <t>LAUSANNE</t>
  </si>
  <si>
    <t>PO BOX 564, 1001 LAUSANNE, SWITZERLAND</t>
  </si>
  <si>
    <t>1011-1344</t>
  </si>
  <si>
    <t>J PHOTOCH PHOTOBIO B</t>
  </si>
  <si>
    <t>J. Photochem. Photobiol. B-Biol.</t>
  </si>
  <si>
    <t>10.1016/S1011-1344(97)00028-6</t>
  </si>
  <si>
    <t>XW699</t>
  </si>
  <si>
    <t>WOS:A1997XW69900005</t>
  </si>
  <si>
    <t>Stoecker, DK; Gustafson, DE; Merrell, JR; Black, MMD; Baier, CT</t>
  </si>
  <si>
    <t>Excystment and growth of chrysophytes and dinoflagellates at low temperatures and high salinities in Antarctic sea-ice</t>
  </si>
  <si>
    <t>Antarctica; archaeomonads; brine; crytolerant; chrysophytes; cysts; dinoflagellates; halotolerant; ice algae; McMurdo Sound; sea-ice; statocysts; stomatocysts</t>
  </si>
  <si>
    <t>MICROBIAL COMMUNITIES SIMCO; SPRING-SUMMER TRANSITION; MCMURDO-SOUND; PACK-ICE; BRINE COMMUNITY; WEDDELL SEA; BOTTOM ICE; ALGAE; MICROALGAE; BIOTA</t>
  </si>
  <si>
    <t>Extreme environmental conditions have been thought to limit algal growth in the upper sea-ice. In McMurdo Sound, Antarctica, chrysophyte statocysts (stomatocysts) and dinoflagellate hypnozygotes (resting cysts) overwinter in first-and second-year land-fast sea-ice exposed to temperatures of -20 degrees C or lower. In early November, when temperatures in the upper ice are &lt;-8 degrees C and brine salinities are &gt;126 psu, dinoflagellate cysts activate and shortly thereafter excyst. During early November, chrysophyte statocysts also begin to excyst. Net daily primary production occurs in the sea-ice brine at temperatures as low as -7.1 degrees C, at brine salinities as high as 129 psu, and at average photon flux densities as low as 5 mu mol photons.m(-2).s(-1). Dinoflagellate densities were &gt;10(6) vegetative cells.L-1 of ice while temperatures in the upper ice were between -6.8 and -5.8 degrees C and brine salinities were similar to 100 psu. Chrysophyte densities reached &gt;10(6).L-1 of ice by early December. High densities of physiologically active cryo- and halotolerant algae can occur in the upper land-fast sea-ice under extreme conditions of temperature and salinity.</t>
  </si>
  <si>
    <t>Stoecker, DK (corresponding author), UNIV MARYLAND,HORN POINT ENVIRONM LAB,CTR ENVIRONM &amp; ESTUARINE STUDIES,POB 775,CAMBRIDGE,MD 21613, USA.</t>
  </si>
  <si>
    <t>stoecker, diane k/F-9341-2013; Black, Megan MMD/G-6410-2016</t>
  </si>
  <si>
    <t>810 EAST 10TH ST, LAWRENCE, KS 66044</t>
  </si>
  <si>
    <t>10.1111/j.0022-3646.1997.00585.x</t>
  </si>
  <si>
    <t>XR355</t>
  </si>
  <si>
    <t>WOS:A1997XR35500004</t>
  </si>
  <si>
    <t>McCafferty, DJ; Moncrieff, JB; Taylor, IR</t>
  </si>
  <si>
    <t>The effect of wind speed and wetting on thermal resistance of the barn owl (Tyto alba). I: Total heat loss, boundary layer and total resistance</t>
  </si>
  <si>
    <t>thermal resistance; heat loss; wind speed; wetting; barn owl; Tyto alba</t>
  </si>
  <si>
    <t>ECOLOGICAL ENERGETICS; SMALL BIRDS; TEMPERATURE; METABOLISM; ENERGY; FOOD</t>
  </si>
  <si>
    <t>1. The sensible heat loss and thermal resistance of a barn owl (Tyto alba) were determined using a hear transfer model in a wind tunnel. 2. Heat loss was a linear function of wind speed and increased by 60% between 0 and 7 m s(-1). Wetting the model increased heat loss by 30%. 3. Boundary layer resistance of the model decreased from 223 s m(-1) in still air to 56 s m-l at a wind speed of 1.3 m s(-1) and remained constant at wind speeds up to 7 m s(-1). 4. The relationship between Nusselt and Reynolds numbers for the model was linear: as was the relationship for cylinders over the range in Reynolds numbers. Nusselt numbers for the plumage-covered model were, however, 30% lower than those derived for the uncovered model. 5. Total thermal resistance of the model was 508 s m(-1) (dry) and 486 s m(-1) (wet), decreasing by almost 60% from 0 to 7 m s(-1). There was a nonlinear decrease in total resistance with increasing wind speed, mainly due to the change in boundary resistance between 0 and 1.3 m s(-1). (C) 1997 Elsevier Science Ltd. All rights reserved.</t>
  </si>
  <si>
    <t>British Antarctic Survey, NERC, Cambridge CB3 0ET, England; Univ Edinburgh, Inst Ecol &amp; Resource Management, Div Biol Sci, Edinburgh EH9 3JU, Midlothian, Scotland; Charles Sturt Univ, Johnstone Res Ctr, Albury, NSW 2640, Australia</t>
  </si>
  <si>
    <t>UK Research &amp; Innovation (UKRI); Natural Environment Research Council (NERC); NERC British Antarctic Survey; University of Edinburgh; Charles Sturt University</t>
  </si>
  <si>
    <t>AUG-OCT</t>
  </si>
  <si>
    <t>10.1016/S0306-4565(97)00020-X</t>
  </si>
  <si>
    <t>YQ222</t>
  </si>
  <si>
    <t>WOS:000071363000004</t>
  </si>
  <si>
    <t>The effect of wind speed and wetting on thermal resistance of the barn owl (Tyto alba). II: Coat resistance.</t>
  </si>
  <si>
    <t>plumage; coat resistance; wind; wetting; barn owl; Tyto alba</t>
  </si>
  <si>
    <t>SMALL BIRDS; INSULATION; HEAT; TEMPERATURE; DEPENDENCE</t>
  </si>
  <si>
    <t>1. The thermal resistance of barn owl (Tyro akin) plumage was determined from measurements of heat flux and temperature using a model in a wind tunnel. 2. The mean resistance of four barn owl coats was 398 s m(-1) and wetting the coat reduced coat resistance to 374 s m(-1). Resistance decreased linearly with increasing wind speed from 0-7 m s(-1). 3. Half of the heat transfer within barn owl coats occurred by conduction through the feather elements, the remaining heat transfer was due to molecular diffusion of air within the coat (30%), radiation (10%) and free convection (10%). 4. Thermal properties of barn owl plumage were comparable with previous findings on avian coats. (C) 1997 Elsevier Science Ltd. All rights reserved.</t>
  </si>
  <si>
    <t>10.1016/S0306-4565(97)00021-1</t>
  </si>
  <si>
    <t>WOS:000071363000005</t>
  </si>
  <si>
    <t>delaCuadra, CML; Gomez, JCG</t>
  </si>
  <si>
    <t>Studies on recent Macroporidae (Bryozoa: Cheilostomatida), with new taxa and ontogeny of the ovicells</t>
  </si>
  <si>
    <t>The Recent species of the Bryozoan family Macroporidae are discussed after study of type and newly collected material using the Scanning Electron Microscope (SEM). The diagnosis of the family and the descriptions of Recent species are updated, using characters previously overlooked or incompletely known. Three new species are described: Macropora browni sp, nov. and Macropora uttleyi sp, nov. from Three Kings Island, New Zealand, the latter differing from other species in the features of female zooids and ovicells and in its uniserial growth; Macropora georgiensis sp. nov., the first macroporid found in the Atlantic Ocean and the southernmost in distribution. being found on South Georgia Island. The geographical range of the family is extended to sub-Antarctic waters of the Atlantic Ocean. A study on the ontogeny of the ovicells of Macroporidae is included and the conclusion is drawn that, in most cases, the ovicell is subimmersed, supported by a kenozooid, and that maternal zooids are differentiated early in ontogeny into female zooids (here termed gynozooids).</t>
  </si>
  <si>
    <t>delaCuadra, CML (corresponding author), UNIV SEVILLA,FAC BIOL,DEPT FISIOL &amp; BIOL ANIM,LAB BIOL MARINA,APTDO 1095,E-41080 SEVILLE,SPAIN.</t>
  </si>
  <si>
    <t>Garcia Gomez, Jose Carlos/0000-0002-6913-1215</t>
  </si>
  <si>
    <t>XR083</t>
  </si>
  <si>
    <t>WOS:A1997XR08300001</t>
  </si>
  <si>
    <t>Karentz, D; Dunlap, WC; Bosch, I</t>
  </si>
  <si>
    <t>Temporal and spatial occurrence of UV-absorbing mycosporine-like amino acids in tissues of the Antarctic sea urchin Sterechinus neumayeri during springtime ozone-depletion</t>
  </si>
  <si>
    <t>SOLAR ULTRAVIOLET-RADIATION; STRONGYLOCENTROTUS-DROEBACHIENSIS; MARINE ORGANISMS; B RADIATION; LARVAE; GREEN; ICE; TRANSMISSION; SENSITIVITY; IRRADIANCE</t>
  </si>
  <si>
    <t>From September to November 1991, UV-absorbing mycosporine-like amino acids (MAAs) were monitored in a natural population of the sea urchin Sterechinus neumayeri from a coastal area of Anvers Island (Antarctic Peninsula). MAA concentrations were determined for specific tissues (gonad, digestive tract and body wall) from adults collected at four depths (intertidal, 8, 15 and 24 m). Four MAAs were identified: mycosporine-glycine, shinorine, porphyra-334 and palythine. Concentrations of MAAs among replicate individuals varied considerably. Ovaries had high concentrations of MAAs (84 to 1389 mu g g(-1) dry wt), while testes had non-detectable levels. The relative abundance of specific MAAs in ovaries appeared to be related to the spawning cycle. Digestive-tract samples had MAA concentrations as high as 3000 mu g g(-1) dry wt, but the mean MAA content in intertidal individuals decreased by 70% over 3 mo during spring. The body walls of sea urchins had very low amounts of MAAs (less than or equal to 0.08 mu g g(-1) dry wt). There were significant depth differences in the total MAA content of the ovary (p &lt;0.001), (p &lt; 0.015), digestive tract (p &lt; 0.001), and body wall with organisms from the intertidal and 8 m depth having the highest concentrations of MAAs. Biological dosimetry indicated that UV-B (280 to 320 nm) wavelengths penetrated 3 to 7 m below the sea ice during the study period. The total MAA content in ovaries decreased with depth on all sample dates; however, the MAA content of the digestive tract and body wall did not exhibit a consistent pattern of change with depth. The MAA content of tissues did not change significantly with the temporal gradient of light exposure that was established by both ozone depletion and increasing photoperiod, except in the digestive tract sampled from intertidal specimens. Adult urchins are probably well-protected from UV exposure by the water column and a calcareous test; however, the results of this study suggest that, even under ice cover, depth of habitation is a determinant of MAA content in S. neumayeri. Large daily and seasonal fluctuations in the light regime, which are characteristic of Antarctic coastal environments, apparently do not provide reliable cues to elicit a detectable, temporal, biochemical response.</t>
  </si>
  <si>
    <t>AUSTRALIAN INST MARINE SCI,TOWNSVILLE,QLD 4810,AUSTRALIA; SUNY COLL GENESEO,DEPT BIOL,GENESEO,NY 14454</t>
  </si>
  <si>
    <t>Australian Institute of Marine Science; State University of New York (SUNY) System; SUNY Geneseo</t>
  </si>
  <si>
    <t>Karentz, D (corresponding author), UNIV SAN FRANCISCO,DEPT BIOL,SAN FRANCISCO,CA 94117, USA.</t>
  </si>
  <si>
    <t>10.1007/s002270050174</t>
  </si>
  <si>
    <t>XW285</t>
  </si>
  <si>
    <t>WOS:A1997XW28500014</t>
  </si>
  <si>
    <t>Sauter, D; Mendel, V</t>
  </si>
  <si>
    <t>Variations of backscatter strength along the super slow-spreading Southwest Indian Ridge between 57 degrees E and 70 degrees E</t>
  </si>
  <si>
    <t>Southwest Indian Ridge; backscatter strength; volcanic activity; sediment cover; segmentation; Rodrigues Triple Junction</t>
  </si>
  <si>
    <t>AUSTRALIAN-ANTARCTIC DISCORDANCE; RODRIGUEZ-TRIPLE-JUNCTION; MID-ATLANTIC RIDGE; SIDESCAN SONAR; OCEAN; EVOLUTION; GRAVITY; MODEL</t>
  </si>
  <si>
    <t>Simrad EM12 backscatter strength data of the Southwest Indian Ridge (SWIR), between 57 degrees E and 70 degrees E, are used to reveal the along-axis segmentation of this super slow-spreading ridge. The backscatter properties of different geologic domains, like bathymetric highs and oblique basins within the rift valley, are characterized using 66 small test sites. We show that backscatter strength is higher on bathymetric swells, corresponding to segment centres, and lower in deep oblique basins corresponding to axial non-transform discontinuities and fracture zones. This contrast between segment centres and discontinuities is produced by both a thicker sediment cover and less frequent volcanic eruptions at segment ends. Using the model of Mitchell (1993), sediments have been estimated to be 2 to 5 m thicker in these areas than at segment centres. The distribution of the seamounts within the rift valley is controlling the long-wavelength variations of the mean backscatter strength calculated along the axis. Lower densities of seamounts and thicker sediments are producing lower and heterogeneous reflectivity levels in the deepest part of the axial valley floor between 61 degrees 45'E and 63 degrees 45'E. We propose that cooler mantle temperatures inducing construction of fewer volcanoes occur beneath this part of the ridge. The mean backscatter strength along the SWIR axis decreases dramatically toward the Rodrigues Triple Junction suggesting that volcanic production is reduced between 68 degrees 20'E and 69 degrees 20'E and that the transition from a magmatic tectonic deformation at the triple junction to new seafloor spreading occurs between 69 degrees 20'E and 70 degrees E. (C) 1997 Elsevier Science B.V.</t>
  </si>
  <si>
    <t>Sauter, D (corresponding author), INST PHYS GLOBE STRASBOURG, LAB GEOPHYS MARINE, ECOLE &amp; OBSERV SCI TERRE, EP 0533 CNRS, 5 RUE RENE DESCARTES, F-67084 STRASBOURG, FRANCE.</t>
  </si>
  <si>
    <t>sauter, daniel/Q-5519-2019; sauter, daniel/K-6532-2014</t>
  </si>
  <si>
    <t>sauter, daniel/0000-0003-3651-8090; sauter, daniel/0000-0003-3651-8090</t>
  </si>
  <si>
    <t>10.1016/S0025-3227(97)00033-9</t>
  </si>
  <si>
    <t>XZ781</t>
  </si>
  <si>
    <t>WOS:A1997XZ78100002</t>
  </si>
  <si>
    <t>Yoon, HI; Han, MW; Park, BK; Oh, JK; Chang, SK</t>
  </si>
  <si>
    <t>Glaciomarine sedimentation and palaeo-glacial setting of Maxwell Bay and its tributary embayment, Marian Cove, South Shetland Islands, West Antarctica</t>
  </si>
  <si>
    <t>glaciomarine sedimentation; Maxwell Bay; South Shetland Islands</t>
  </si>
  <si>
    <t>BRANSFIELD STRAIT; WEDDELL SEA; ICE-SHEET; ACCUMULATION; TRANSPORT; PENINSULA; FJORDS; ALASKA; SHELF; WATER</t>
  </si>
  <si>
    <t>High-resolution (3.5 kHz and multi-channel) seismic profiles and piston cores were collected from Maxwell Bay and its tributary embayment, Marian Cove, in the South Shetland Islands, Antarctica, during the Korea Antarctic Research Program (1992/93 and 1995/96) to elucidate the glaciomarine sedimentation processes and recent glacial history of the area. Seismic data from Maxwell Bay reveal a rugged bay margin and flattened basin floor covered with well-stratified hemipelagic muds. On the base-of-slope, acoustically transparent debris flows occur, indicating downslope resedimentation of glaciomarine sediments. Despite the subpolar and ice-proximal settings of Marian Cove, the seafloor is highly rugged with a thin sediment drape, suggesting That much of the area has been recently eroded by glaciers. Sediment cores from the cove penetrated three distinct fining-upward lithofacies: (1) basal till in the lower part of the core, accumulated just seaward of the grounding line of the tidewater glacier; (2) interlaminated sand and mud in the middle part, deposited in ice-proximal zone by a combination of episodic subglacial meltwater inflow and iceberg dumping; and (3) pebbly mud in the upper part, deposited in ice-distal zone by both surface meltwater plume and ice-rafting from the glacier front. A reconstruction of the glacial history of these areas since the late glacial maximum shows an ice sheet filling Maxwell Bay in late Wisconsin time and grounding of the tidewater glacier in Marian Cove until about 1300 yr BP. (C) 1997 Elsevier Science B.V.</t>
  </si>
  <si>
    <t>INHA UNIV, DEPT OCEANOG, INCHON 402751, SOUTH KOREA</t>
  </si>
  <si>
    <t>Inha University</t>
  </si>
  <si>
    <t>KOREA OCEAN RES &amp; DEV INST, POB 29, SEOUL 425600, SOUTH KOREA.</t>
  </si>
  <si>
    <t>WOS:A1997XZ78100004</t>
  </si>
  <si>
    <t>Keller, G; Adatte, T; Hollis, C; Ordonez, M; Zambrano, I; Jimenez, N; Stinnesbeck, W; Aleman, A; HaleErlich, W</t>
  </si>
  <si>
    <t>The Cretaceous/Tertiary boundary event in Ecuador: reduced biotic effects due to eastern boundary current setting</t>
  </si>
  <si>
    <t>K/T; Ecuador; reduced biotic effects</t>
  </si>
  <si>
    <t>LOW-LATITUDE REGIONS; TERTIARY BOUNDARY; NEW-ZEALAND; EL-KEF; PLANKTIC FORAMINIFERA; NORTHEASTERN BRAZIL; EARLIEST TERTIARY; MASS EXTINCTION; TUNISIA; BIOSTRATIGRAPHY</t>
  </si>
  <si>
    <t>A multidisciplinary study of a new Cretaceous-Tertiary (K/T) boundary section near Guayaquil, Ecuador, reveals an unusually cool water, low diversity planktic foraminiferal fauna and a high diversity radiolarian fauna similar to those found in southern high-latitude WT sequences despite the fact that this section was deposited near the Cretaceous equator. The KIT boundary is located by planktic foraminifera within a narrow interval bounded by last appearances of tropical Cretaceous species and first appearances of Tertiary species including Parvularugoglobigerina eugubina. As in southern high latitudes, there is no major mass extinction of either planktic foraminifera or radiolarians at this level. A major radiolarian faunal discontinuity occurs some 6 m higher in the section within foraminiferal Zone Pie, some 300-500 kyr after the WT event. delta(13)C values from bulk carbonates show both high-and low-latitude characteristics. Similarly to low latitudes, there is a 3 parts per thousand negative delta(13)C excursion at the KIT boundary which is generally interpreted as a major decrease in primary productivity. But unlike the low latitudes, recovery occurs within a few thousand years, as compared with 300-500 kyr, and suggests rapid nutrient influx from the Antarctic region via a current similar to the Humboldt current today. Similarly to high-latitude WT sequences, a negative delta(13)C shift occurs in the early Danian Zone PIb about 300 kyr after the WT boundary, Sedimentologic and mineralogic data indicate a late Maastrichtian with relatively low biogenic quartz and high carbonate followed by increasing biogenic quartz (&gt;50%) and decreasing carbonate (&lt;5%) during the early Danian. This suggests intensified atmospheric and oceanic circulation and upwelling off Ecuador during the early Danian. The K/T transition is marked by increased volcanic activity, continental erosion and terrigenous influx, but this also occurs in the early Danian Zone at the P1a/P1b zonal transition and is thus not unique to the WT boundary. We suggest that the catastrophic biotic effects normally observed at the K/T boundary in low latitudes are greatly reduced or absent in the eastern equatorial Pacific because this region was dominated, then as now, by upwelling and current transport of nutrient-rich waters from the Antarctic Ocean. As a result, the biotic patterns are characteristic of southern high latitudes, whereas the delta(13)C pattern combines ameliorated low-latitude effects with predominantly high-latitude trends.</t>
  </si>
  <si>
    <t>INST GEOL,CH-2007 NEUCHATEL,SWITZERLAND; INST GEOL &amp; NUCL SCI,LOWER HUTT,NEW ZEALAND; FILIAL PETROECUADOR,PETROPROD,GUAYAQUIL,ECUADOR; UNIV KARLSRUHE,INST GEOL,D-76131 KARLSRUHE,GERMANY; AMOCO PROD CO,HOUSTON,TX 77253</t>
  </si>
  <si>
    <t>GNS Science - New Zealand; Helmholtz Association; Karlsruhe Institute of Technology; BP</t>
  </si>
  <si>
    <t>Keller, G (corresponding author), PRINCETON UNIV,DEPT GEOSCI,PRINCETON,NJ 08544, USA.</t>
  </si>
  <si>
    <t>Hollis, Christopher/D-3560-2011</t>
  </si>
  <si>
    <t>Hollis, Christopher/0000-0001-8840-9852</t>
  </si>
  <si>
    <t>10.1016/S0377-8398(96)00061-8</t>
  </si>
  <si>
    <t>XX484</t>
  </si>
  <si>
    <t>WOS:A1997XX48400001</t>
  </si>
  <si>
    <t>Jones, P</t>
  </si>
  <si>
    <t>Antarctic food chains disrupted?</t>
  </si>
  <si>
    <t>10.1016/S0025-326X(97)90083-7</t>
  </si>
  <si>
    <t>YD111</t>
  </si>
  <si>
    <t>WOS:A1997YD11100009</t>
  </si>
  <si>
    <t>Thompson, RN; Velde, D; Leat, PT; Morrison, MA; Mitchell, JG; Dickin, AP; Gibson, SA</t>
  </si>
  <si>
    <t>Oligocene lamproite containing an Al-poor, Ti-rich biotite, Middle Park, northwest Colorado, USA</t>
  </si>
  <si>
    <t>MINERALOGICAL MAGAZINE</t>
  </si>
  <si>
    <t>Oligocene lamproite; Al-poor Ti-rich biotite; richterite; lithospheric mantle</t>
  </si>
  <si>
    <t>RIO-GRANDE RIFT; LITHOSPHERIC MANTLE; ULTRAPOTASSIC ROCKS; BASALT GENESIS; EXTENSION; MAGMATISM; GEOCHEMISTRY; PLUME; MELT; CRYSTALLIZATION</t>
  </si>
  <si>
    <t>A small 33 +/- 0.8 Ma lamproite pluton is exposed in the midst of a 23-26 Ma basalt-rhyolite province in Middle Park, NW Colorado. It contains abundant phlogopite phenocrysts in a fine-grained groundmass of analcime pseudomorphs after leucite, biotite, potassic richterite, apatite, ilmenite and accessory diopside. The phlogopite phenocryst cores contain similar to 4 wt.% TiO2, 1% Cr2O3 and 0.2% BaO. The smallest groundmass biotites have normal pleochroism but compositions unlike any previously reported, with similar to 2% Al2O3, similar to 8% TiO2 and F &lt;1.5%. Apart from those elements affected by leucite alteration, both the elemental and isoiapic composition of this lamproite are close to those of the Leucite Hills, Wyoming. Its Nd-isotopic model age (T-DM = 1.6 Ga) is outside the Leucite Hills range but within that of other Tertiary strongly potassic magmatism in the region underlain by the Wyoming craton. Evidence from both teleseismic tomography and the mantle xenoliths within other western USA mafic ultrapotassic igneous suites shows that the total lithospheric thickness beneath NW Colorado was probably similar to 150-200 km at 33 Ma, when the Middle Park lamproite was emplaced. This is an important constraint on tectonomagmatic models for the Cenozoic evolution of this northernmost part of the Rio Grande rift system.</t>
  </si>
  <si>
    <t>UNIV PARIS 06,DEPT PETROL,CNRS,URA 736,F-75252 PARIS,FRANCE; BRITISH ANTARCTIC SURVEY,CAMBRIDGE CB3 0ET,ENGLAND; UNIV BIRMINGHAM,SCH EARTH SCI,BIRMINGHAM B15 2TT,W MIDLANDS,ENGLAND; UNIV NEWCASTLE UPON TYNE,DEPT PHYS,NEWCASTLE TYNE NE1 7RU,TYNE &amp; WEAR,ENGLAND; MCMASTER UNIV,DEPT GEOL,HAMILTON,ON L8S 4M1,CANADA; UNIV CAMBRIDGE,DEPT EARTH SCI,CAMBRIDGE CB2 3EQ,ENGLAND</t>
  </si>
  <si>
    <t>Sorbonne Universite; Centre National de la Recherche Scientifique (CNRS); UK Research &amp; Innovation (UKRI); Natural Environment Research Council (NERC); NERC British Antarctic Survey; University of Birmingham; Newcastle University - UK; McMaster University; University of Cambridge</t>
  </si>
  <si>
    <t>Thompson, RN (corresponding author), UNIV DURHAM,DEPT GEOL SCI,DURHAM DH1 3LE,ENGLAND.</t>
  </si>
  <si>
    <t>Gibson, Sally/0000-0002-4835-2908</t>
  </si>
  <si>
    <t>MINERALOGICAL SOCIETY</t>
  </si>
  <si>
    <t>41 QUEENS GATE, LONDON, ENGLAND SW7 5HR</t>
  </si>
  <si>
    <t>0026-461X</t>
  </si>
  <si>
    <t>MINERAL MAG</t>
  </si>
  <si>
    <t>Mineral. Mag.</t>
  </si>
  <si>
    <t>10.1180/minmag.1997.061.407.08</t>
  </si>
  <si>
    <t>XV894</t>
  </si>
  <si>
    <t>WOS:A1997XV89400008</t>
  </si>
  <si>
    <t>Hays, LM; Feeney, RE; Tablin, F; Oliver, AE; Walker, NJ; Crowe, LM; Crowe, JH</t>
  </si>
  <si>
    <t>Fish antifreeze glycoproteins protect cellular membranes during lipid-phase transitions</t>
  </si>
  <si>
    <t>NEWS IN PHYSIOLOGICAL SCIENCES</t>
  </si>
  <si>
    <t>BIOLOGICAL-MEMBRANES; TEMPERATURES</t>
  </si>
  <si>
    <t>Antifreeze proteins from Antarctic fish depress solution freezing temperatures, inhibit ice crystal formation, and prevent recrystallization on rewarming. They have been used to enhance survival of some cell types during hypothermic storage. The mechanism of their protection is thought to be important during the transition of lipid bilayers from a liquid crystalline to a gel phase.</t>
  </si>
  <si>
    <t>UNIV CALIF DAVIS,SCH VET MED,DEPT FOOD SCI &amp; TECHNOL,DAVIS,CA 95616; UNIV CALIF DAVIS,SCH VET MED,DEPT ANAT PHYSIOL &amp; CELL BIOL,DAVIS,CA 95616</t>
  </si>
  <si>
    <t>University of California System; University of California Davis; University of California System; University of California Davis</t>
  </si>
  <si>
    <t>Hays, LM (corresponding author), UNIV CALIF DAVIS,SCH VET MED,SECT MOL &amp; CELLULAR BIOL,DAVIS,CA 95616, USA.</t>
  </si>
  <si>
    <t>BALTIMORE</t>
  </si>
  <si>
    <t>C/O WILLIAMS &amp; WILKINS, PO BOX 1496, BALTIMORE, MD 21203</t>
  </si>
  <si>
    <t>0886-1714</t>
  </si>
  <si>
    <t>NEWS PHYSIOL SCI</t>
  </si>
  <si>
    <t>News Physiol. Sci.</t>
  </si>
  <si>
    <t>Physiology</t>
  </si>
  <si>
    <t>XQ601</t>
  </si>
  <si>
    <t>WOS:A1997XQ60100009</t>
  </si>
  <si>
    <t>Ostrovsky, AN</t>
  </si>
  <si>
    <t>Rejuvenation in colonies of some Antarctic tubuliporids (Bryozoa, Stenolaemata)</t>
  </si>
  <si>
    <t>OPHELIA</t>
  </si>
  <si>
    <t>Six erect colonies with proximal rejuvenated portions belonging to Idmidronea fraudulenta Ostrovsky &amp; Taylor, 1996, Exidmonea arcuata Ostrovsky Sc Taylor, 1996 and Entalophoroecia cf. rogickiana (Androsova, 1968) are described in detail. This is the first report of rejuvenation in colonies of Recent Tubuliporida. Conditions in which rejuvenation might occur are discussed as well as some terminological problems concerning this phenomenon.</t>
  </si>
  <si>
    <t>Ostrovsky, AN (corresponding author), ST PETERSBURG STATE UNIV,FAC BIOL &amp; SOIL SCI,DEPT INVERTEBRATE ZOOL,UNIV SKAJA NAB 7-9,ST PETERSBURG 199034,RUSSIA.</t>
  </si>
  <si>
    <t>Ostrovsky, Andrew/D-6439-2012</t>
  </si>
  <si>
    <t>Ostrovsky, Andrew/0000-0002-3646-9439</t>
  </si>
  <si>
    <t>OPHELIA PUBLICATIONS</t>
  </si>
  <si>
    <t>STENSTRUP</t>
  </si>
  <si>
    <t>KIRKEBY SAND 19, DK-5771 STENSTRUP, DENMARK</t>
  </si>
  <si>
    <t>0078-5326</t>
  </si>
  <si>
    <t>Ophelia</t>
  </si>
  <si>
    <t>10.1080/00785326.1997.10432877</t>
  </si>
  <si>
    <t>XV142</t>
  </si>
  <si>
    <t>WOS:A1997XV14200001</t>
  </si>
  <si>
    <t>Popp, BN; Parekh, P; Tilbrook, B; Bidigare, RR; Laws, EA</t>
  </si>
  <si>
    <t>Organic carbon delta C-13 variations in sedimentary rocks as chemostratigraphic and paleoenvironmental tools</t>
  </si>
  <si>
    <t>Meeting of the International-Geological-Correlation-Programme (IGCP) Project 293 Geochemical Event Markers in the Phanerozoic</t>
  </si>
  <si>
    <t>ERLANGEN, GERMANY</t>
  </si>
  <si>
    <t>fractionation; phytoplankton sedimentary organic matter; secular variations; biomarkers; compound-specific isotopic analyses</t>
  </si>
  <si>
    <t>UPPER PROTEROZOIC SUCCESSIONS; FOOD-WEB STRUCTURE; ISOTOPIC COMPOSITIONS; MARINE-PHYTOPLANKTON; STABLE CARBON; ANTARCTIC PHYTOPLANKTON; PLANKTON DELTA-C-13; GREENHORN FORMATION; EQUATORIAL PACIFIC; CO2 CONCENTRATION</t>
  </si>
  <si>
    <t>Carbon isotopic variations in marine carbonate rocks and organic matter can provide important information on stratigraphic correlations and paleoenvironments. In particular, carbon isotopic variations in marine organic materials may yield information about the concentration of oceanic dissolved CO2 and/or the physiology of the microalgal community. This paper reviews evidence from laboratory experiments and oceanographic studies aimed at understanding controls on carbon isotopic fractionation by marine phytoplankton. We also review factors affecting carbon isotopic compositions of bulk sedimentary organic matter and individual biomarker compounds. Guidelines for analysis of isotopic compositions of organic materials and interpretations of these results for use as chemostratigraphic and paleoenvironmental tools are presented. We recommend caution in interpreting carbon isotopic variations of sedimentary organic matter because no environmental factor explains adequately variations in the carbon isotopic composition of modern phytoplankton. Studies of ancient materials should include compound-specific isotopic analyses of known phytoplankton biomarkers of organism-specific isotopic analyses with bulk isotopic results to assess the proportions of allochthonous organic materials, the degree of reworking and the extent of thermal degradation to confirm any trends present in delta-values of bulk sedimentary organic matter. (C) 1997 Elsevier Science B.V.</t>
  </si>
  <si>
    <t>UNIV MICHIGAN,DEPT GEOL SCI,ANN ARBOR,MI 48109; CSIRO,DIV OCEANOG,HOBART,TAS 7001,AUSTRALIA; ANTARCTIC CRC,HOBART,TAS 7001,AUSTRALIA; UNIV HAWAII,DEPT OCEANOG,HONOLULU,HI 96822</t>
  </si>
  <si>
    <t>University of Michigan System; University of Michigan; Commonwealth Scientific &amp; Industrial Research Organisation (CSIRO); University of Hawaii System</t>
  </si>
  <si>
    <t>Popp, BN (corresponding author), UNIV HAWAII,DEPT GEOL &amp; GEOPHYS,2525 CORREA RD,HONOLULU,HI 96822, USA.</t>
  </si>
  <si>
    <t>Tilbrook, Bronte/W-4007-2019</t>
  </si>
  <si>
    <t>Tilbrook, Bronte/0000-0001-9385-3827; Popp, Brian/0000-0001-7021-5478</t>
  </si>
  <si>
    <t>10.1016/S0031-0182(97)00061-8</t>
  </si>
  <si>
    <t>XY805</t>
  </si>
  <si>
    <t>WOS:A1997XY80500008</t>
  </si>
  <si>
    <t>Sumner, DY</t>
  </si>
  <si>
    <t>Late Archean calcite-microbe interactions: Two morphologically distinct microbial communities that affected calcite nucleation differently</t>
  </si>
  <si>
    <t>PALAIOS</t>
  </si>
  <si>
    <t>WESTERN-AUSTRALIA; TRANSVAAL SUPERGROUP; STROMATOLITES OLDER; ABIOLOGICAL ORIGIN; ANTARCTIC LAKE; 3.2 GA; CARBONATE; TIME</t>
  </si>
  <si>
    <t>Microbialites in the 2521 +/- 3 Ma Gamohaan and Frisco formations, South Africa, consist of three components: very thin, filmy laminae that are interpreted as remnants of microbial mats; irregular surfaces that acted as supports over which filmy laminae draped, which also are interpreted as microbial in origin; and cement-filled voids that formed contemporaneously with microbialite growth. The structure of the microbialites varies with the proportions of filmy laminae and supports, disruption of had filmy laminae, and abundance of voids. Seven end-member morphologies have been defined: planar laminae, contorted laminae, tented microbialites, cuspate microbialites, irregular columnar microbialites, plumose structures, and herringbone calcite beds. Similar structures have not been reported in younger rocks, but they may have partial analogs in Yellowstone hot springs, ice covered lakes in Antarctica, and Proterozoic conoform stromatolites. Herringbone calcite, a fibrous marine cement, precipitated contemporaneously with microbial growth. It preferentially precipitated on the supports over the laminated mat as demonstrated by: the concentration of herringbone calcite near supports; growth banding in herringbone calcite, which indicates that calcite nucleated on and grew away from supports but not laminated mat; and the abutment of herringbone calcite coatings against laminated mat attached to supports. These observations suggest that the laminated mat inhibited nucleation. of calcite crystals. The differences in the morphology and relationships to herringbone calcite in the supports and laminated mat imply that they were composed of distinct microbial communities that interacted with their environment differently. Also, the complexity of the microbialites demonstrates that a remarkably diverse set of microbe-substrate interactions evolved by late Archean time.</t>
  </si>
  <si>
    <t>MIT, CAMBRIDGE, MA 02139 USA</t>
  </si>
  <si>
    <t>Sumner, Dawn/E-8744-2011</t>
  </si>
  <si>
    <t>Sumner, Dawn/0000-0002-7343-2061</t>
  </si>
  <si>
    <t>6128 EAST 38TH ST, STE 308, TULSA, OK 74135-5814 USA</t>
  </si>
  <si>
    <t>0883-1351</t>
  </si>
  <si>
    <t>1938-5323</t>
  </si>
  <si>
    <t>Palaios</t>
  </si>
  <si>
    <t>10.2307/3515333</t>
  </si>
  <si>
    <t>XQ370</t>
  </si>
  <si>
    <t>WOS:A1997XQ37000002</t>
  </si>
  <si>
    <t>Ninnemann, US; Charles, CD</t>
  </si>
  <si>
    <t>Regional differences in Quaternary Subantarctic nutrient cycling: Link to intermediate and deep water ventilation</t>
  </si>
  <si>
    <t>OCEAN CIRCULATION; ATMOSPHERIC CO2; CARBON-DIOXIDE; HIGH-LATITUDE; PRODUCTIVITY; RECORD</t>
  </si>
  <si>
    <t>Several fundamental issues regarding carbon cycling in the glacial oceans rest on the development: of reliable descriptions of high southern latitude surface waters, Here we compare new Subantarctic planktonic foraminiferal delta(13)C records with previously published records to demonstrate two distinct regional patterns over glacial cycles: (1) a lour-amplitude signal (similar to 0.7 parts per thousand), previously observed in the Indian (primarily in Globigerina bulloides), that also dominates the Pacific, and (2) a higher-amplitude signal, previously observed in Neogloboquadrina Pachyderma, that is confined to the Atlantic and western Indian sectors. The near observations from the Southeast Pacific, a primary region of Antarctic Intermediate Water (AAIW) formation, strengthen the suggestion that intermediate water acted as a conduit for transferring delta(13)C variability to low latitudes, because the timing and amplitude of the Indo-Pacific low-amplitude delta(13)C changes are similar to those observed in planktonic records from the tropical Pacific and Atlantic. A new benthic foraminiferal delta(13)C record from intermediate depths in the South Atlantic is also similar to the Southeast Pacific surface water records, further demonstrating that this link between high- and low-latitude surface: waters might be maintained. The widespread Indo-Pacific Subantarctic surface water signal is obscured in records from the Atlantic sector by the large glacial-interglacial delta(13)C signal (&gt;1.0 parts per thousand) that is most likely the result of nutrient changes related to variable North Atlantic Deep Water (NADW) production, pachyderma delta(13)C records is not matched in a new C, bulloides delta(13)C record. The confined regional extent of the high-amplitude signal and the discrepancy between the two species suggest that most of the excess nutrients in the glacial Atlantic (inferred from delta(13)C) may be removed seasonally by increased production in the Subantarctic.</t>
  </si>
  <si>
    <t>UNIV CALIF SAN DIEGO, SCRIPPS INST OCEANOG, GEOSCI RES DIV, LA JOLLA, CA 92093 USA</t>
  </si>
  <si>
    <t>Ninnemann, US (corresponding author), UNIV CALIF SAN DIEGO, SCRIPPS INST OCEANOG, GRAD DEPT, LA JOLLA, CA 92093 USA.</t>
  </si>
  <si>
    <t>10.1029/97PA01032</t>
  </si>
  <si>
    <t>XP462</t>
  </si>
  <si>
    <t>WOS:A1997XP46200005</t>
  </si>
  <si>
    <t>Nurnberg, CC; Bohrmann, G; Schluter, M; Frank, M</t>
  </si>
  <si>
    <t>Barium accumulation in the Atlantic sector of the Southern Ocean: Results from 190,000-year records</t>
  </si>
  <si>
    <t>EQUATORIAL PACIFIC; ANTARCTIC OCEAN; BIOGENIC SILICA; EXPORT PRODUCTION; WATER; FLUX; SEA; GEOCHEMISTRY; FORAMINIFERA; SEDIMENTS</t>
  </si>
  <si>
    <t>Extensive investigations of sedimentary barium were performed in the southern South Atlantic in order to assess the reliability of the barium signal in Antarctic sediments as a proxy for paleoproductivity, Maximum accumulation rates of excess barium were calculated for the Antarctic zone south of the polar front where silica accumulates at high rates, The correspondence between barium and opal supports the applicability of barium as a proxy for productivity. Within the Antarctic zone north of today's average sea ice maximum, interglacial vertical rain rates of excess barium are high, with a maximum occurring during the last deglaciation and early Holocene and during oxygen isotope chronozone 5.5. During these periods, the maximum silica accumulation was supposedly located south of the polar front. Glacial paleoproductivity, instead, was low within the Antarctic zone. North of the polar front, significantly higher barium accumulation occurs during glacial times. The vertical rain rates, however, are as high as in the glacial Antarctic zone. Therefore there was no evidence for an increased productivity in the glacial Southern Ocean.</t>
  </si>
  <si>
    <t>UNIV OXFORD, DEPT EARTH SCI, OXFORD OX1 3PR, ENGLAND</t>
  </si>
  <si>
    <t>University of Oxford</t>
  </si>
  <si>
    <t>Nurnberg, CC (corresponding author), GEOMAR RES CTR, KIEL, GERMANY.</t>
  </si>
  <si>
    <t>; Bohrmann, Gerhard/D-4474-2017</t>
  </si>
  <si>
    <t>Schlueter, Michael/0000-0002-4997-3802; Bohrmann, Gerhard/0000-0001-9976-4948; Frank, Martin/0000-0002-8606-4421</t>
  </si>
  <si>
    <t>10.1029/97PA01130</t>
  </si>
  <si>
    <t>WOS:A1997XP46200009</t>
  </si>
  <si>
    <t>Figueroa, FL; Blanco, JM; JimenezGomez, F; Rodriguez, J</t>
  </si>
  <si>
    <t>Effects of ultraviolet radiation on carbon fixation in Antarctic nanophytoflagellates</t>
  </si>
  <si>
    <t>B RADIATION; CRYPTOMONAS-MACULATA; PHYTOPLANKTON; LIGHT; IRRADIANCE</t>
  </si>
  <si>
    <t>Carbon fixation in Antarctic nanoflagellates dominated by cryptomonads collected during a summer cruise in 1995 decreased after short-term exposition (3 h) under both UVA and UVA + UVB radiation compared to white light, The dose applied with artificial lamps was within the range of the natural UV radiation measured at the surface during the cruise, The depletion of C fixation was higher after UVA + UVB than after WA alone,The inhibition of carbon fixation in the laboratory depended on the time of sample collection and, consequently, on the UV dose received in the natural environment before sampling, Thus, the cells collected in the morning showed 82% of inhibition by UVA + UVB but that collected at noon showed only 72%. The same effect was observed by WA: 72% of inhibition in the morning samples and 62% at noon, Thus, photoprotection mechanisms seem to be operating during the day protecting the cells against a rise in UV radiation, Red fluorescence (attributed to chlorophyll) per cell, as determined by flow cytometry, was not affected by UV, however, orange fluorescence (attributed to phycoerythrin) increased clearly after UV radiation compared to that in white light, The increment of orange fluorescence was higher after UVA than after UVA + UVB radiation, The rapid increase in fluorescence emission could be due to an uncoupling of energy transfer and it is suggested as a protective mechanism against UV radiation by absorbing UV radiation.</t>
  </si>
  <si>
    <t>Figueroa, FL (corresponding author), UNIV MALAGA, FAC CIENCIAS, DEPT ECOL, CAMPUS UNIV TEATINOS S-N, E-29071 MALAGA, SPAIN.</t>
  </si>
  <si>
    <t>GOMEZ, FRANCISCO JIMENEZ/E-7093-2012; Gómez, Francisco Jiménez/AAA-1425-2021; Lopez Figueroa, Felix Diego/K-7720-2014</t>
  </si>
  <si>
    <t>Gómez, Francisco Jiménez/0000-0001-8644-7089; Rodriguez, Jaime/0000-0002-4143-883X; Lopez Figueroa, Felix Diego/0000-0003-3580-4693</t>
  </si>
  <si>
    <t>10.1111/j.1751-1097.1997.tb08641.x</t>
  </si>
  <si>
    <t>XX489</t>
  </si>
  <si>
    <t>WOS:A1997XX48900011</t>
  </si>
  <si>
    <t>Tong, S; Vors, N; Patterson, DJ</t>
  </si>
  <si>
    <t>Heterotrophic flagellates, centrohelid heliozoa and filose amoebae from marine and freshwater sites in the Antarctic</t>
  </si>
  <si>
    <t>PROTISTA-INCERTAE-SEDIS; WEDDELL SEA; SPECIES COMPOSITION; MICROBIAL PLANKTON; ICE BIOTA; GENUS; WATER; CHOANOFLAGELLATE; ULTRASTRUCTURE; ABUNDANCE</t>
  </si>
  <si>
    <t>Heterotrophic flagellates, centrohelid heliozoa and filose amoebae were recorded from cultures derived from water collected at marine and freshwater sites in the Antarctic. Marine samples were collected in the vicinity of Prydz Bay, southeast Antarctica and freshwater samples from Sombre Lake on Signy Island and Crooked and Druzhby Lakes in the Vestfold Hills. Thirty-five species were identified. One new species, Kiitoksia kaloista (Protista incertae sedis), is described. The other species have been previously reported from other geographic locations, providing no evidence for endemism in protozoan species found in Antarctica.</t>
  </si>
  <si>
    <t>UNIV SYDNEY, SCH BIOL SCI A08, SYDNEY, NSW 2006, AUSTRALIA</t>
  </si>
  <si>
    <t>Patterson, David J./0000-0003-2645-7335</t>
  </si>
  <si>
    <t>10.1007/s003000050163</t>
  </si>
  <si>
    <t>XK969</t>
  </si>
  <si>
    <t>WOS:A1997XK96900002</t>
  </si>
  <si>
    <t>Montgomery, JC; Bjorn, K; Sutherland, W</t>
  </si>
  <si>
    <t>Sensory development of the Antarctic silverfish Pleuragramma antarcticum: A test for the ontogenetic shift hypothesis</t>
  </si>
  <si>
    <t>WEDDELL SEA; NOTOTHENIOID FISH; BRAIN MORPHOLOGY; RUTILUS-RUTILUS; LIFE-HISTORY; TELEOSTEI; CYPRINIDAE; GROWTH; PISCES; PENINSULA</t>
  </si>
  <si>
    <t>In 1996 Montgomery proposed an ontogenetic shift in the use of visual and non-visual senses in Antarctic notothenioid fishes, with visual dominance in larval fishes giving way to son-visual senses in adults. One prediction of the hypothesis is timing differences in the development of the respective sensory systems, with the visual system expected to develop earlier than the other systems. The volume of certain brain centres can be determined from fixed material and should correlate with sensory development. This study determined the relative volumes of visual and lateral line brain areas. and relative eye size as a function of fish length in Pleuragramma antarcticum. The relative volume of optic tectum was largest in larval fish. exhibiting a negative allometry with growth. The eminentia granularis, and crista cerebellaris (lateral line associated areas) were not recognisable in the smallest larvae: the!: became differentiated at standard lengths of 10-20 mm and their relative volumes continued to increase over the size range of fish studied (up to 150 mm standard length). Relative eve diameter decreased dramatically over the size ranee 5-25 mm and then increased such that relative eve diameter doubled over the size range 25-30 mm. A similar. but less extreme. pattern was seen over the size range 30-60 min. Above 60 mm relative eye diameter increased slightly with size. Our interpretation is that eye growth and somatic growth are on separate trajectories, and the breaks in the relative eye diameter curve result from overwinter periods when somatic growth is static. but the eve continues to grow. These results provide support for the ontogenetic shift hypothesis. and indicate that the timing of the shift probably occurs after the second winter.</t>
  </si>
  <si>
    <t>Montgomery, JC (corresponding author), UNIV AUCKLAND,SCH BIOL SCI,EXPT BIOL RES GRP,PRIVATE BAG 92019,AUCKLAND 1,NEW ZEALAND.</t>
  </si>
  <si>
    <t>Montgomery, John/D-4310-2009</t>
  </si>
  <si>
    <t>Montgomery, John/0000-0002-7451-3541</t>
  </si>
  <si>
    <t>10.1007/s003000050165</t>
  </si>
  <si>
    <t>WOS:A1997XK96900004</t>
  </si>
  <si>
    <t>Fungi of the Windmill islands, continental Antarctica. Effect of temperature, pH and culture media on the growth of selected microfungi</t>
  </si>
  <si>
    <t>ORNITHOGENIC SOILS; BUDD COAST; MICROBIOLOGY; BIOMASS</t>
  </si>
  <si>
    <t>Studies were conducted on microfungi isolated from soils in the Windmill Islands, continental Antarctica. Growth responses of Alternaria alternata, Chrysosporium pannorum, Nectria peziza, Thelebolus microsporus, Mycelia sterile and Phoma cf. herbarum to temperature. pH and culture media were investigated, Maximum growth occurred after 16 days, except in Nectria peziza and Thelebolus microsporus, where maximum growth occurred 12 days after inoculation. All isolates showed poor growth at 0 degrees C. Maximum growth was obtained with temperatures ranging from 15 to 25 degrees C. The optimum temperature for all fungi was 20 degrees C. An acid medium favoured growth. Chrysosporium pannorum. Phoma cf. herbarum and Nectria peziza grew best at pH 3-4, whereas Mycelia sterile, Alternaria alternata and Thelebolus microsporus grew best at pH 5-6. The culture medium had little effect on growth, except for nutrient agar, which showed poor growth against all isolates with the exception of Thelebolus microsporus.</t>
  </si>
  <si>
    <t>10.1007/s003000050167</t>
  </si>
  <si>
    <t>WOS:A1997XK96900006</t>
  </si>
  <si>
    <t>HolmHansen, O; Hewes, CD; Villafane, VE; Helbling, EW; Silva, N; Amos, T</t>
  </si>
  <si>
    <t>Distribution of phytoplankton and nutrients in relation to different water masses in the area around Elephant island, Antarctica</t>
  </si>
  <si>
    <t>IRON; LIMITATION; NORTH; OCEAN</t>
  </si>
  <si>
    <t>During January March 1996 the U.S. Antarctic Marine Living Resources program carried out an extensive multidisciplinary study in a 40,000 km(2) sampling grid around Elephant Island, Antarctica. The physical, chemical, optical, and biological characteristics of the upper water column (0-750 m) were determined at 91 hydrographic stations. Analysis of the temperature and salinity data showed that six different hydrographic zones could be differentiated. The biological (phytoplankton distribution and abundance) and chemical (inorganic nutrient concentrations) data also showed characteristic differences within each of these six zones. In spite of high concentrations of inorganic N, P, and Si in all six zones, all stations in the northwest portion of the sampling grid (Drake Passage waters) showed very low chlorophyll-a concentrations in surface waters and a sub-surface maximum at increased depth. As stations in this zone have a relatively stable upper mixed layer of 40 m, excess macro-nutrients, and adequate solar radiation for maximal photosynthetic rates, this suggests that rates of primary production in this zone are limited by a micro-nutrient such as Fe. Phytoplankton abundance was much greater in the Bransfield Strait, in waters influenced by Bellingshausen Sea Water, and in the frontal zones where these water masses mix with Drake Passage waters. Relatively low and deeply distributed phytoplankton abundance was found at all stations in the southeastern portion of our sampling grid, where the upper water column was very weakly stratified and showed the characteristics of Weddell Sea water. The areas of enhanced phytoplankton biomass in the AMLR sampling grid roughly correspond to the areas where krill are generally also found in greater abundance. The overall biological productivity of the Elephant Island region would thus appear to be dependent upon the circulation patterns of the major water masses that intrude into this area.</t>
  </si>
  <si>
    <t>PONTIFICIA UNIV CATOLICA VALPARAISO, ESCUELA CIENCIAS MAR, VALPARAISO, CHILE; UNIV TEXAS, INST MARINE SCI, PORT ARANSAS, TX 78373 USA</t>
  </si>
  <si>
    <t>Pontificia Universidad Catolica de Valparaiso; University of Texas System</t>
  </si>
  <si>
    <t>HolmHansen, O (corresponding author), UNIV CALIF SAN DIEGO, SCRIPPS INST OCEANOG, POLAR RES PROGRAM, LA JOLLA, CA 92093 USA.</t>
  </si>
  <si>
    <t>Villafane, Virginia/0000-0002-9552-6069</t>
  </si>
  <si>
    <t>10.1007/s003000050169</t>
  </si>
  <si>
    <t>WOS:A1997XK96900008</t>
  </si>
  <si>
    <t>Klinger, TS; McClintock, JB; Watts, SA</t>
  </si>
  <si>
    <t>Activities of digestive enzymes of polar and subtropical echinoderms</t>
  </si>
  <si>
    <t>SEASTAR PISASTER-OCHRACEUS; TEMPERATURE; ADAPTATION</t>
  </si>
  <si>
    <t>Activities and characteristics of digestive enzymes of polar and subtropical echinoderms are similar. Specific adaptations to facilitate digestion at low temperature were not observed. Levels of chymotrypsin and beta-glucosidase of digestive tissues of the Antarctic, asteroids Odontaster validus and Odontaster meridionalis, and the Antarctic echinoid Sterechinus neumayeri, are comparable to levels of the asteroids Henricia downii and Astropecten articulatus from the Gulf of Mexico. alpha-Glucosidase activities are similar for S. neumayeri and A. articulatus. The pH of maximal activity is 7.5 for disaccharidases and 8.5-9.5 for chymotrypsin for both polar and subtropical species. Affinities for substrates were higher at 25 degrees C than at 0 degrees C for disaccharidases of all species. However, K-m values for chymotrypsin increased from 0 to 25 degrees C. Lack of sufficient adaptation by polar echinoderms to facilitate digestion at low temperature may reduce their capacity to digest food.</t>
  </si>
  <si>
    <t>UNIV ALABAMA,DEPT BIOL,BIRMINGHAM,AL 35294</t>
  </si>
  <si>
    <t>University of Alabama System; University of Alabama Birmingham</t>
  </si>
  <si>
    <t>Klinger, TS (corresponding author), BLOOMSBURG UNIV PENN,DEPT BIOL &amp; ALLIED HLTH SCI,400 E 2ND ST,BLOOMSBURG,PA 17815, USA.</t>
  </si>
  <si>
    <t>10.1007/s003000050170</t>
  </si>
  <si>
    <t>WOS:A1997XK96900009</t>
  </si>
  <si>
    <t>Kawaguchi, S; Toda, T</t>
  </si>
  <si>
    <t>Discovery of ciliates reproducing in the gut of Antarctic krill</t>
  </si>
  <si>
    <t>During a recent Antarctic research cruise (December 1994/February 1995). dissection of fresh Antarctic krill (Euphausia superba) on board ship revealed live motile ciliates in the gut of krill. Further observation of gut samples by scanning electron microscopy indicated that the ciliates were symbionts located within the gut. We inferred that the ciliates may have enabled the krill to digest a wider range of food items, and as a consequence, this had became an important strategy for Antarctic krill's survival in the Antarctic ecosystem.</t>
  </si>
  <si>
    <t>SOKA UNIV,DEPT BIOENGN,HACHIOJI,TOKYO 192,JAPAN</t>
  </si>
  <si>
    <t>Soka University</t>
  </si>
  <si>
    <t>Kawaguchi, S (corresponding author), NATL RES INST FAR SEAS FISHERIES,SO OCEAN LIVING RESOURCES RES SECT,5-7-1 ORIDO,SHIMIZU,SHIZUOKA 424,JAPAN.</t>
  </si>
  <si>
    <t>Kawaguchi, So/N-1795-2017</t>
  </si>
  <si>
    <t>Kawaguchi, So/0000-0002-2042-5095; Toda, Tatsuki/0000-0001-9279-030X</t>
  </si>
  <si>
    <t>10.1007/s003000050171</t>
  </si>
  <si>
    <t>WOS:A1997XK96900010</t>
  </si>
  <si>
    <t>Key, JR; Collins, JB; Fowler, C; Stone, RS</t>
  </si>
  <si>
    <t>High-latitude surface temperature estimates from thermal satellite data</t>
  </si>
  <si>
    <t>HIGH-RESOLUTION RADIOMETER; TRACK SCANNING RADIOMETER; INFRARED MEASUREMENTS; ICE; AVHRR; SNOW; REFLECTANCE; ALGORITHMS; VALIDATION; CHANNELS</t>
  </si>
  <si>
    <t>The surface temperature of the polar regions controls sea ice growth, snow melt, and surface-atmosphere energy exchange. However, our limited knowledge of polar surfaces and atmospheres has hampered the development of methods to estimate surface temperature with satellite data. In this article, clear-sky surface-temperature retrieval algorithms for use with the Advanced Very High Resolution Radiometer (AVHRR) and the Along Track Scanning Radiometer (ATSR) for the Arctic and the Antarctic, over ocean and land, are presented. The methods are similar to those used in estimating sea and land surface temperatures but are developed with data specific to the polar regions. An extensive validation analysis using an annual cycle of surface measurements gives accuracies in the range of 0.3-2.1 K, the larger errors being attributable to the spatially variable surface of the validation area. For homogeneous surfaces the expected accuracy is sufficient for many climate process studies. (C) Elsevier Science Inc., 1997.</t>
  </si>
  <si>
    <t>UNIV COLORADO, COLORADO CTR ASTRODYNAM RES, BOULDER, CO 80309 USA; UNIV COLORADO, COOPERAT INST RES ENVIRONM SCI, BOULDER, CO 80309 USA</t>
  </si>
  <si>
    <t>BOSTON UNIV, DEPT GEOG, 675 COMMONWEALTH AVE, BOSTON, MA 02215 USA.</t>
  </si>
  <si>
    <t>Key, Jeffrey R./AAB-7248-2020</t>
  </si>
  <si>
    <t>STE 800, 230 PARK AVE, NEW YORK, NY 10169 USA</t>
  </si>
  <si>
    <t>1879-0704</t>
  </si>
  <si>
    <t>10.1016/S0034-4257(97)89497-7</t>
  </si>
  <si>
    <t>XG793</t>
  </si>
  <si>
    <t>WOS:A1997XG79300011</t>
  </si>
  <si>
    <t>Legrand, M; Mayewski, P</t>
  </si>
  <si>
    <t>Glaciochemistry of polar ice cores: A review</t>
  </si>
  <si>
    <t>REVIEWS OF GEOPHYSICS</t>
  </si>
  <si>
    <t>SEA-SALT SULFATE; ANTARCTIC ICE; METHANESULFONIC-ACID; CENTRAL GREENLAND; NITRATE CONCENTRATIONS; NORTHERN-HEMISPHERE; ION CHROMATOGRAPHY; HYDROGEN-PEROXIDE; PAST VOLCANISM; HEAVY-METALS</t>
  </si>
  <si>
    <t>Human activities have already modified the chemical composition of the natural atmosphere even in very remote regions of the world. The study of chemical parameters stored in solid precipitation and accumulated on polar ice sheets over the last several hundred thousand years provides a unique tool for obtaining information on the composition of the preindustrial atmosphere and its natural variability over the past. This paper deals with the chemistry of polar ice focused on the soluble mineral (Na+, NH4+, K+ Ca++, Mg++, H+, F-, Cl-, NO3-, SO4--, and H2O2) and organic (methanesulfonate (CH3SO3-), formate (HCOO-), acetate (CH3COO-), and formaldehyde (HCHO)) species and their interpretation in terms of past atmospheric composition (aerosols and water soluble gaseous species). We discuss ice core dating, the difficulties connected with trace measurements, and the significance of the ionic composition of snow. We examine temporal (from the last decades back to the last climatic cycle) and spatial (including examples from coastal as well as central areas of Greenland and Antarctica) variations in the ionic budget of the precipitation and evaluate ice core studies in terms of the chemical composition of our past atmosphere. We review (1) how Greenland and Antarctic ice cores that span the last few centuries have provided information on the impact of human activities and (2) how the chemistry of deep ice cores provides information on various past natural phenomena such as climatic variations (glacial-interglacial changes, El Nino), volcanic eruptions, and large boreal forest fires.</t>
  </si>
  <si>
    <t>UNIV NEW HAMPSHIRE, INST STUDY EARTH OCEANS &amp; SPACE, CLIMATE CHANGE RES CTR, DURHAM, NH 03824 USA</t>
  </si>
  <si>
    <t>University System Of New Hampshire; University of New Hampshire</t>
  </si>
  <si>
    <t>CNRS, LAB GLACIOL &amp; GEOPHYS ENVIRONM, BP 96, F-38402 ST MARTIN DHERES, FRANCE.</t>
  </si>
  <si>
    <t>Legrand, Michel/AAU-4678-2020; Mayewski, Paul Andrew/HRD-6969-2023</t>
  </si>
  <si>
    <t>8755-1209</t>
  </si>
  <si>
    <t>1944-9208</t>
  </si>
  <si>
    <t>REV GEOPHYS</t>
  </si>
  <si>
    <t>Rev. Geophys.</t>
  </si>
  <si>
    <t>10.1029/96RG03527</t>
  </si>
  <si>
    <t>XN901</t>
  </si>
  <si>
    <t>WOS:A1997XN90100001</t>
  </si>
  <si>
    <t>Lu, LH; Bian, LG; Jia, PQ</t>
  </si>
  <si>
    <t>The temporal and spatial characteristics of the surface air temperature variations over the Antarctic and its surrounding area</t>
  </si>
  <si>
    <t>the Antarctic; temperature; greenhouse effect; trend; oscillation</t>
  </si>
  <si>
    <t>The characteristics of the spatial distribution, temporal variations trend and oscillation for the surface air temperature variations during 1957-1993 in the Antarctic and its surrounding area were analyzed. The results show that the shea-time climate change in the Antarctic is complex both temporally and spatially. The Antarctic is by no means the strongest responding region to the global greenhouse effect. There is a distinguished difference in the bends of the temperature changes for the Antarctic and global mean, which could not be explained simply by the global greenhouse effect.</t>
  </si>
  <si>
    <t>Lu, LH (corresponding author), CHINESE ACAD METEOROL SCI,BEIJING 100081,PEOPLES R CHINA.</t>
  </si>
  <si>
    <t>10.1007/BF02877576</t>
  </si>
  <si>
    <t>XR164</t>
  </si>
  <si>
    <t>WOS:A1997XR16400013</t>
  </si>
  <si>
    <t>Antarctic CRC reprieved</t>
  </si>
  <si>
    <t>14 ARCHERON ST, DONCASTER, VIC 3108, AUSTRALIA</t>
  </si>
  <si>
    <t>YD026</t>
  </si>
  <si>
    <t>WOS:A1997YD02600007</t>
  </si>
  <si>
    <t>George, SM; Livingston, FE</t>
  </si>
  <si>
    <t>Dynamic ice surface in the polar stratosphere</t>
  </si>
  <si>
    <t>SURFACE REVIEW AND LETTERS</t>
  </si>
  <si>
    <t>HETEROGENEOUS REACTIONS; HYDROGEN-CHLORIDE; TRANSITION LAYER; OZONE HOLE; CONDENSATION; CRYSTAL; HCL; H2O; NITRATE; WATER</t>
  </si>
  <si>
    <t>Heterogeneous reactions on polar stratospheric clouds (PSCs), such as ClONO2+HCl --&gt; Cl-2+HNO3, are important for an understanding of the production of active chlorine species (HOCl,Cl-2) and Antarctic ozone depletion. H2O-ice forms the Type II PSCs and the nature of H2O-ice surfaces under stratospheric conditions may affect the heterogeneous chemistry. This review focuses on recent measurements of H2O adsorption kinetics on ice, H2O desorption kinetics from ice, H2O surface diffusion on ice and H2O diffusion into ice. These measurements reveal that the ice surface is extremely dynamic under polar stratospheric conditions. For example, the residence time for an H2O molecule on an ice surface at 188 K is only similar to 20 milliseconds before desorption and only similar to 0.4 milliseconds before diffusion into the ice bulk. The dynamic nature of the ice surface may significantly affect the adsorption, solvation, diffusion and reaction of the chlorine reservoir molecules (ClONO2:HCl). The dynamic ice surface may also serve as a model for the surfaces of other molecular solids.</t>
  </si>
  <si>
    <t>George, SM (corresponding author), UNIV COLORADO,DEPT CHEM &amp; BIOCHEM,CAMPUS BOX 215,BOULDER,CO 80309, USA.</t>
  </si>
  <si>
    <t>WORLD SCIENTIFIC PUBL CO PTE LTD</t>
  </si>
  <si>
    <t>SINGAPORE</t>
  </si>
  <si>
    <t>JOURNAL DEPT PO BOX 128 FARRER ROAD, SINGAPORE 9128, SINGAPORE</t>
  </si>
  <si>
    <t>0218-625X</t>
  </si>
  <si>
    <t>SURF REV LETT</t>
  </si>
  <si>
    <t>Surf. Rev. Lett.</t>
  </si>
  <si>
    <t>10.1142/S0218625X97000754</t>
  </si>
  <si>
    <t>Chemistry, Physical; Physics, Condensed Matter</t>
  </si>
  <si>
    <t>YJ071</t>
  </si>
  <si>
    <t>WOS:A1997YJ07100018</t>
  </si>
  <si>
    <t>Gosink, JJ; Herwig, RP; Staley, JT</t>
  </si>
  <si>
    <t>Octadecabacter arcticus gen nov, sp nov, and O-antarcticus, sp nov, nonpigmented, psychrophilic gas vacuolate bacteria from polar sea ice and water</t>
  </si>
  <si>
    <t>SYSTEMATIC AND APPLIED MICROBIOLOGY</t>
  </si>
  <si>
    <t>Octadecabacter arcticus; Octabadecabacter antarcticus; marine bacteria; phylogeny; gas vesicles; arctic bacteria; antarctic bacteria; biogeography</t>
  </si>
  <si>
    <t>MAXIMUM-LIKELIHOOD; RIBOSOMAL-RNA; DNA-SEQUENCES; MARINE; CYANOBACTERIA; TREES; TOOL</t>
  </si>
  <si>
    <t>Heterotrophic. psychrophilic, gas vasuolate bacteria were recovered from arctic and antarctic sea ice and water. Cellular fatty acid analysis was used to group these isolates. One group herein descrihed as the new genus Octadecabacter, had octadecenoic acid (18:1) in excess of 70% of their total fatty acid content. Phylogenetic analysis of the 16S rRNA of several strains from this group revealed that they were members of the alpha Proteobacteria and were most closely related to the genus Roseobacter. Further phenotypic and genotypic tests showed that these strains can be distinguished from Roseobacter on thr basis of low levels of DNA/DNA hybridization. lack of bacteriochlorophyll a, and because they are psychrophiles. Octadecabacter gen. nov., contains both a north polar species, O, arcticus sp, nov, str, 238, and a south polar species. O. antarcticus sp. nov. str. 307. This genus may be useful for examining the extent of procaryotic biogeographic dispersal.</t>
  </si>
  <si>
    <t>Gosink, JJ (corresponding author), UNIV WASHINGTON,SCH FISHERIES,BOX 357242,SEATTLE,WA 98195, USA.</t>
  </si>
  <si>
    <t>0723-2020</t>
  </si>
  <si>
    <t>SYST APPL MICROBIOL</t>
  </si>
  <si>
    <t>Syst. Appl. Microbiol.</t>
  </si>
  <si>
    <t>10.1016/S0723-2020(97)80003-3</t>
  </si>
  <si>
    <t>XR167</t>
  </si>
  <si>
    <t>WOS:A1997XR16700003</t>
  </si>
  <si>
    <t>Goodge, JW</t>
  </si>
  <si>
    <t>Latest Neoproterozoic basin inversion of the Beardmore Group, central Transantarctic Mountains, Antarctica</t>
  </si>
  <si>
    <t>TECTONICS</t>
  </si>
  <si>
    <t>EARLY PALEOZOIC HISTORY; NORTHERN VICTORIA LAND; SHACKLETON LIMESTONE; GLACIER AREA; GORCE MOUNTAINS; ROSS OROGEN; SHEAR ZONE; MARGIN; GONDWANA; EVOLUTION</t>
  </si>
  <si>
    <t>Structural and age relationships in Beardmore Group rocks in the central Transantarctic Mountains of Antarctica indicate that they experienced a single deformation in latest Neoproterozoic to early Paleozoic time. New structural data contrast with earlier suggestions that Beardmore rocks record two orogenic deformations, one of the early Paleozoic Boss orogeny and a distinct earlier tectonic event of presumed Neoproterozoic age referred to as the Beardmore orogeny. In the Nimrod Glacier area, Beardmore metasedimentary rocks contain only a single set of geometrically related regional structures associated with the development of upright, large-and small-scale flexural-slip folds. Deformation of Beardmore strata involved west directed contraction of modest regional strain at relatively high crustal levels. Existing ages of detrital zircons from the Cobham and Goldie formations constrain Beardmore Group deposition to be younger than similar to 600 Ma. This is significantly younger than previous age estimates and suggests that Beardmore deposition may be closely linked to a latest Neoproterozoic East Antarctic rift margin. The lack of structural evidence for polyphase deformation and the relatively young depositional age for the Beardmore Group thus raises the question of a temporally and/or tectonically unique Beardmore orogeny. Here I suggest that Beardmore shortening may be related to tectonic inversion of East Antarctic marginal-basin strata because of localized compression during proto-Pacific seafloor spreading. Basin inversion is but one stage in a protracted Ross tectonic cycle of rifting, tectonic inversion, subduction initiation, and development of a mature convergent continental margin during latest Neoproterozoic and early Paleozoic time. The term ''Beardmore orogeny'' has little meaning as an event of orogenic status, and it should be abandoned. Recognition of this latest Neoproterozoic history reinforces the view that the broader Ross orogeny was not a single event but rather was a long-lived postrifting tectonic process along the East Antarctic margin of Gondwanaland.</t>
  </si>
  <si>
    <t>Goodge, JW (corresponding author), SO METHODIST UNIV,DEPT GEOL SCI,DALLAS,TX 75275, USA.</t>
  </si>
  <si>
    <t>Goodge, John/GQI-3878-2022</t>
  </si>
  <si>
    <t>Goodge, John/0000-0003-2578-3147</t>
  </si>
  <si>
    <t>0278-7407</t>
  </si>
  <si>
    <t>Tectonics</t>
  </si>
  <si>
    <t>10.1029/97TC01417</t>
  </si>
  <si>
    <t>XR626</t>
  </si>
  <si>
    <t>WOS:A1997XR62600008</t>
  </si>
  <si>
    <t>DeWolde, JR; Huybrechts, P; Oerlemans, J; VandeWal, RSW</t>
  </si>
  <si>
    <t>Projections of global mean sea level rise calculated with a 2D energy-balance climate model and dynamic ice sheet models</t>
  </si>
  <si>
    <t>TELLUS SERIES A-DYNAMIC METEOROLOGY AND OCEANOGRAPHY</t>
  </si>
  <si>
    <t>OCEAN-ATMOSPHERE MODEL; CARBON-DIOXIDE; GREENLAND; GLACIERS</t>
  </si>
  <si>
    <t>Projections of changes in surface air temperature and global mean sea level over the next century are presented for all IS92 radiative forcing scenarios. A zonal mean energy-balance climate model is used to estimate temperature changes and thermal expansion, precipitation-dependent sensitivity values are used to estimate the sea-level contribution of glaciers and small ice caps and dynamic ice-sheet models coupled to surface mass balance models are employed with regard to the Greenland and Antarctic ice sheets. A few of the sea-level projections have been included in the IPCC96-report for comparison with the revised IPCC96 projections. Here it is demonstrated that the observed inter-model differences are similar for all IS92 radiative forcing scenarios: the projections of global surface air temperature change resemble the revised IPCC96 projections, but the projections of global sea-level rise are 30%-50% smaller than the revised IPCC96 projections. In this paper, the reasons for the inter-model differences in sealevel results are considered. The largest inter-model differences in individual sea-level contributions are found for thermal expansion and for the Antarctic ice-sheet. Sensitivity experiments are presented that show the importance of different assumptions about the temperature forcing of the glacier and ice-sheet models and about weakening of the ocean circulation. Furthermore, uncertainties in thermal expansion caused by uncertainties in ocean heat mixing are considered. It is concluded that the inter-model differences in sea-level projections are caused by the use of essentially different models in this paper and in the revised IPCC96 projections.</t>
  </si>
  <si>
    <t>FREE UNIV BRUSSELS, INST GEOG, B-1050 BRUSSELS, BELGIUM</t>
  </si>
  <si>
    <t>UNIV UTRECHT, INST MARINE &amp; ATMOSPHER RES, POB 80 005, NL-3508 TA UTRECHT, NETHERLANDS.</t>
  </si>
  <si>
    <t>van de wal, roderik/D-1705-2011; Oerlemans, Johannes/G-3802-2011; Huybrechts, Philippe/J-5278-2013</t>
  </si>
  <si>
    <t>van de wal, roderik/0000-0003-2543-3892; Huybrechts, Philippe/0000-0003-1406-0525</t>
  </si>
  <si>
    <t>1600-0870</t>
  </si>
  <si>
    <t>TELLUS A</t>
  </si>
  <si>
    <t>Tellus Ser. A-Dyn. Meteorol. Oceanol.</t>
  </si>
  <si>
    <t>10.1034/j.1600-0870.1997.t01-3-00006.x</t>
  </si>
  <si>
    <t>XQ739</t>
  </si>
  <si>
    <t>WOS:A1997XQ73900006</t>
  </si>
  <si>
    <t>Boyd, IL</t>
  </si>
  <si>
    <t>Electronic marine mammals</t>
  </si>
  <si>
    <t>Software Review</t>
  </si>
  <si>
    <t>Boyd, IL (corresponding author), BRITISH ANTARCTIC SURVEY,MADINGLEY RD,CAMBRIDGE CB3 0ET,ENGLAND.</t>
  </si>
  <si>
    <t>10.1016/S0169-5347(97)89923-5</t>
  </si>
  <si>
    <t>XL879</t>
  </si>
  <si>
    <t>WOS:A1997XL87900018</t>
  </si>
  <si>
    <t>Schuller, P; Ellies, A; Handl, J</t>
  </si>
  <si>
    <t>Influence of climatic conditions and soil properties on Cs-137 vertical distribution in selected Chilean soils</t>
  </si>
  <si>
    <t>ZEITSCHRIFT FUR PFLANZENERNAHRUNG UND BODENKUNDE</t>
  </si>
  <si>
    <t>Symposium on Radioecology - 10 Years Terrestrial Radioecological Research Following the Chernobyl Accident</t>
  </si>
  <si>
    <t>APR 22-24, 1996</t>
  </si>
  <si>
    <t>VIENNA, AUSTRIA</t>
  </si>
  <si>
    <t>Long-term downward distribution of global fallout Cs-137 was studied in different soil types, in natural and semi-natural environments of four Chilean climatic zones. The Cs-137 soil content showed an exponential decrease with depth; relaxation depth ranged from 0.9 cm in the polar climate environment up to 6.8 cm in the mesothermal warm summer one. In the Antarctic and Westpatagonic ecosystems the long freezing periods delayed the Cs-137 leaching. In temperate and tropical climate zones, primarily the rates of annual rainfall and volume of coarse soil pores control the radionuclide's distribution in the soil profiles.</t>
  </si>
  <si>
    <t>UNIV HANNOVER,ZENTRUM STRAHLENSCHUTZ &amp; RADIOOKOL,D-30419 HANNOVER,GERMANY</t>
  </si>
  <si>
    <t>Leibniz University Hannover</t>
  </si>
  <si>
    <t>Schuller, P (corresponding author), UNIV AUSTRAL CHILE,CASILLA 567,VALDIVIA,CHILE.</t>
  </si>
  <si>
    <t>VCH PUBLISHERS INC</t>
  </si>
  <si>
    <t>DEERFIELD BEACH</t>
  </si>
  <si>
    <t>303 NW 12TH AVE, DEERFIELD BEACH, FL 33442-1788</t>
  </si>
  <si>
    <t>0044-3263</t>
  </si>
  <si>
    <t>Z PFLANZ BODENKUNDE</t>
  </si>
  <si>
    <t>Z. Pflanzen. Bodenk.</t>
  </si>
  <si>
    <t>10.1002/jpln.19971600312</t>
  </si>
  <si>
    <t>Agronomy; Plant Sciences; Soil Science</t>
  </si>
  <si>
    <t>Agriculture; Plant Sciences</t>
  </si>
  <si>
    <t>XU033</t>
  </si>
  <si>
    <t>WOS:A1997XU03300011</t>
  </si>
  <si>
    <t>Rossolimo, TE; Block, W; Worland, MR</t>
  </si>
  <si>
    <t>A note on the ecophysiology of Pterostichus subaeneus (Carabidae) from the western Sayan mountains</t>
  </si>
  <si>
    <t>ZOOLOGICHESKY ZHURNAL</t>
  </si>
  <si>
    <t>The ecophysiological mechanisms underlying the thermal adaptations of adult Pterostichus (Euryperis) subaeneus Chaudoir (=wagneri) were studied. It is a subalpine species collected in the Western Sayan Mountains (Sayano-Shushensky Reserve) at altitudes of 2.100-2.33 m above sea level in the autumn of 1992 and 1995. Individuals for measurements of oxygen consumption and thermal preference experiments were taken from overwintering chambers. Thermopreferenda of P. subaeneus showed a wide range from +10 to +25 degrees C. The majority of specimens kept in laboratory at +4 degrees C preferred two temperature zones: +15 to +17 degrees C and +21 to +23 degrees C. Beetles avoided temperatures higher than +24 degrees C. There were no significant differences in the thermal preferences of individuals collected in 1992 and 1995. Individuals acclimated at +18 degrees C preferred one temperature zone +18 to +24 degrees C. There were no significant differences in the thermal preferences of males and females. Thermopreferendum was correlated with the temperature the animal kept at before the experiment. Possible to conclude that Carabidae species have two zones of thermopreferenda of in autumn because of the influence of low environment temperature. The oxygen consumption of individual P. subaeneus was determined over the temperature range 0 to +35 degrees C at 5 degree intervals. The resultant curve could be separated into three segments, showing the differing response of metabolism in relation to temperature. Further studies are required to correlate metabolic rate (as determined by oxygen consumption) with thermal preferences to clarify the adaptations to temperature of such adult Coleoptera. These data will contribute to a model of optimal and unfavourable temperature adaptations as a part of ecophysiological strategy of cold adapted arthropods.</t>
  </si>
  <si>
    <t>Rossolimo, TE (corresponding author), RUSSIAN ACAD SCI,SEVERTSOV INST ECOL &amp; EVOLUT,MOSCOW 117071,RUSSIA.</t>
  </si>
  <si>
    <t>0044-5134</t>
  </si>
  <si>
    <t>ZOOL ZH</t>
  </si>
  <si>
    <t>Zool. Zhurnal</t>
  </si>
  <si>
    <t>XX759</t>
  </si>
  <si>
    <t>WOS:A1997XX75900004</t>
  </si>
  <si>
    <t>Nicholls, KW</t>
  </si>
  <si>
    <t>Predicted reduction in basal melt rates of an Antarctic ice shelf in a warmer climate</t>
  </si>
  <si>
    <t>CIRCULATION; BENEATH; WATER</t>
  </si>
  <si>
    <t>Floating ice shelves are vulnerable to climate change at both their upper and lower surfaces. The extent to which the apparently air-temperature-related retreat of some northerly Antarctic Peninsula ice shelves(1) presages the demise of their much larger, more southerly, counterparts is not known, but air-temperature effects are unlikely to be important in the near future. Oceanographic measurements from beneath the most massive of these southerly ice shelves-the Filchner-Ronne Ice Shelf(2-4)-have confirmed that dense sea water resulting from sea-ice formation north of the ice shelf flows into the sub-ice-shelf cavity. This relatively warm so-called High Salinity Shelf Water (HSSW) is responsible for the net melting at the ice shelf's base. Here I present temperature measurements, from the same sub-ice-shelf cavity, which show a strong seasonality in the inflow of HSSW. This seasonality results from intense wintertime production of sea ice, and I argue that the seasonal springtime warming can be used as an analogue for climate warming. For the present mode of oceanographic circulation, the implication is that warmer winters (a climate warming, leading to lower rates of sea-ice formation, would cause a reduction in the flux of HSSW beneath the ice shelf. The resultant cooling in the sub-ice cavity would lead, in turn, to a reduction in the total melting at the ice shelf's base. A moderate warming of the climate could thus lead to a basal thickening of the Filchner-Ronne Ice Shelf, perhaps increasing its longevity.</t>
  </si>
  <si>
    <t>Nicholls, KW (corresponding author), BRITISH ANTARCTIC SURVEY,NERC,CAMBRIDGE CB3 0ET,ENGLAND.</t>
  </si>
  <si>
    <t>N, Keith/E-9126-2010</t>
  </si>
  <si>
    <t>JUL 31</t>
  </si>
  <si>
    <t>10.1038/41302</t>
  </si>
  <si>
    <t>XN553</t>
  </si>
  <si>
    <t>WOS:A1997XN55300044</t>
  </si>
  <si>
    <t>Bolshov, MA; Rudniev, SN; Rudnieva, AA; Boutron, C; Hong, SM</t>
  </si>
  <si>
    <t>Determination of heavy metals in polar snow and ice by laser excited atomic fluorescence spectrometry with electrothermal atomization in a graphite cup</t>
  </si>
  <si>
    <t>SPECTROCHIMICA ACTA PART B-ATOMIC SPECTROSCOPY</t>
  </si>
  <si>
    <t>2nd European Furnace Symposium</t>
  </si>
  <si>
    <t>MAY 25-29, 1996</t>
  </si>
  <si>
    <t>laser excited atomic fluorescence (LEAF); Bi; ice analysis; electrothermal atomization; iridium modifier</t>
  </si>
  <si>
    <t>ANTARCTIC ICE; ULTRATRACE DETERMINATION; CADMIUM CONCENTRATIONS; CENTRAL GREENLAND; TRACE AMOUNTS; TUBE FURNACE; LEAD; BISMUTH; THALLIUM; ZINC</t>
  </si>
  <si>
    <t>The strategy of direct analysis at the femtogram level is exemplified by the determination of Bi traces in the sections of two Greenland ice cores by laser excited atomic fluorescence spectrometry (LEAFS). The importance of all stages of the analysis: field sampling, mechanical decontamination, labware precleaning, standards and samples storage and transportation, and final analytical measurements are discussed in terms of getting unbiased accurate data. The potentialities of Pd and Ir matrix modifiers for the determination of femtogram contents of Bi were examined. The Ir modifier provided better limit of detection for real ice samples (0.15 pg ml(-1)) because of its higher purity and thermal stability, The contents of Bi well above LOD (1.4 and 0.8 pg ml(-1)) were measured in two sections of ice core, dated to 1783-1784 AD (the period of the activity of Laki volcano in Iceland) and in the sections of deep ice core, dated to Last Glacial Maximum (LGM)-Holocene transition (Bi content ranges within 0.3-0.7 pg ml(-1)). (C) 1997 Elsevier Science B.V.</t>
  </si>
  <si>
    <t>Bolshov, MA (corresponding author), RUSSIAN ACAD SCI,INST SPECT,ISAN,TROITSK 142092,MOSCOW REGION,RUSSIA.</t>
  </si>
  <si>
    <t>0584-8547</t>
  </si>
  <si>
    <t>SPECTROCHIM ACTA B</t>
  </si>
  <si>
    <t>Spectroc. Acta Pt. B-Atom. Spectr.</t>
  </si>
  <si>
    <t>JUL 30</t>
  </si>
  <si>
    <t>9-10</t>
  </si>
  <si>
    <t>10.1016/S0584-8547(97)00035-9</t>
  </si>
  <si>
    <t>YF025</t>
  </si>
  <si>
    <t>WOS:A1997YF02500030</t>
  </si>
  <si>
    <t>Peck, LS; Brockington, S; Brey, TA</t>
  </si>
  <si>
    <t>Growth and metabolism in the Antarctic brachiopod Liothyrella uva</t>
  </si>
  <si>
    <t>PHILOSOPHICAL TRANSACTIONS OF THE ROYAL SOCIETY OF LONDON SERIES B-BIOLOGICAL SCIENCES</t>
  </si>
  <si>
    <t>SUBLITTORAL EPIFAUNAL COMMUNITIES; ICE-FOOT ZONE; SIGNY ISLAND; ARTICULATE BRACHIOPODS; POPULATION; SEASONALITY; TEMPERATURE; VOLUMES; SIZE</t>
  </si>
  <si>
    <t>Summer and winter growth rates were assessed separately for a population of the Antarctic brachiopod Liothyrella uva between early January 1992 and December 1993. Annual shell growth rates (1.6-2.3 mm yr(-1) for a 5 mm individual; 0.96-1.44 mm yr(-1) for a 20 mm specimen) were two to six times slower than those reported for temperate species. Growth in specimens less than 20 mm in length was faster in 1992 than in 1993, although differences between years over the whole size range were not significant. Surprisingly, growth was much faster in winter periods than during the summers. A 5 mm long individual grew five times faster in winter than in summer, and for a 20 mm long specimen the difference was 13 times. This runs contrary to current ideas on the effects of seasonality on the biology of polar marine invertebrates, but may be an effect of maximizing the efficiency of resource utilization. Comparisons with previous work showed shell growth to be decoupled from periods of tissue mass increase, and also from the main period of phytoplankton productivity. Oxygen consumption of 75 of the specimens used in the growth study was measured to test the hypothesis that basal metabolic rates should be inversely correlated with growth rates. Unexpectedly an analysis of residuals produced no significant relationship, positive or negative, between growth rate and basal metabolism (F = 1.37, p = 0.25, n = 75).</t>
  </si>
  <si>
    <t>ALFRED WEGENER INST POLAR &amp; MARINE RES,D-27568 BREMERHAVEN,GERMANY</t>
  </si>
  <si>
    <t>Peck, LS (corresponding author), BRITISH ANTARCTIC SURVEY,NERC,HIGH CROSS,MADINGLEY RD,CAMBRIDGE CB3 0ET,ENGLAND.</t>
  </si>
  <si>
    <t>ROYAL SOC LONDON</t>
  </si>
  <si>
    <t>6 CARLTON HOUSE TERRACE, LONDON, ENGLAND SW1Y 5AG</t>
  </si>
  <si>
    <t>0962-8436</t>
  </si>
  <si>
    <t>PHILOS T ROY SOC B</t>
  </si>
  <si>
    <t>Philos. Trans. R. Soc. Lond. Ser. B-Biol. Sci.</t>
  </si>
  <si>
    <t>JUL 29</t>
  </si>
  <si>
    <t>10.1098/rstb.1997.0065</t>
  </si>
  <si>
    <t>XQ204</t>
  </si>
  <si>
    <t>Green Published, Green Submitted</t>
  </si>
  <si>
    <t>WOS:A1997XQ20400006</t>
  </si>
  <si>
    <t>Politowicz, PA; Hitchman, MH</t>
  </si>
  <si>
    <t>Exploring the effects of forcing quasi-biennial oscillations in a two-dimensional model</t>
  </si>
  <si>
    <t>EQUATORIAL LOWER STRATOSPHERE; TROPICAL LOWER STRATOSPHERE; NORTHERN-HEMISPHERE WINTER; GROUND-BASED OBSERVATIONS; TOTAL OZONE; SOUTHERN OSCILLATION; ANTARCTIC OZONE; ROSSBY-WAVE; GLOBAL QBO; INTERANNUAL VARIABILITY</t>
  </si>
  <si>
    <t>Analytic forcing of the stratospheric quasi-biennial oscillation (QBO) is intro duced into a two-dimensional middle atmosphere model containing interactive radiation, dynamics, photochemistry and climatological aerosols. The ''WISCAR'' model integrates the temperature equation in time, but diagnoses the meridional stream function and zonal wind. An analytic forcing function for the QBO is derived from zonal wind observations and employed in three different ways: (1) as a ''thermal nudge'' in the temperature equation, or in the diagnostic meridional stream function equation as (2) additional heating or (3) equivalent wave driving. A different amplification factor for each method is required to achieve good agreement with the observed QBO in column ozone. This lends insight into the relationship among thermal perturbations, heating, and vertical motion. The vertical variation of QBO amplitude leads to a vertical dependence of the phase relationship among vertical motion, temperature, and zonal wind. Equatorial upward motions range from nearly zero to twice the time mean. Feedbacks in the model result in different extratropical responses for the two hemispheres and modulation of the equatorial semiannual oscillation. Chemical feedbacks and phase relationships are explored for the two ozone regimes: photochemical control above 30 km and advective control beneath. Confirming other studies, QBO vertical motions alter the distribution of odd nitrogen species above 30 km, which, together with the temperature dependence of reaction rates, combine to exert a strong control on ozone perturbations.</t>
  </si>
  <si>
    <t>UNIV WISCONSIN, DEPT ATMOSPHER &amp; OCEAN SCI, CTR SPACE SCI &amp; ENGN, 1225 W DAYTON ST, MADISON, WI 53706 USA.</t>
  </si>
  <si>
    <t>JUL 27</t>
  </si>
  <si>
    <t>D14</t>
  </si>
  <si>
    <t>10.1029/97JD00693</t>
  </si>
  <si>
    <t>XN384</t>
  </si>
  <si>
    <t>WOS:A1997XN38400007</t>
  </si>
  <si>
    <t>Annually resolved southern hemisphere volcanic history from two Antarctic ice cores</t>
  </si>
  <si>
    <t>MOUNT-PINATUBO; EXPLOSIVE VOLCANISM; CLIMATE-CHANGE; RECORD; ERUPTION; SHEET; STRATIGRAPHY; STATION; IMPACT</t>
  </si>
  <si>
    <t>The continuous sulfate analysis of two Antarctic ice cores, one from the Antarctic Peninsula region and one from West Antarctica, provides an annually resolved proxy history of southern semisphere volcanism since early in the 15th century. The dating is accurate within +/-3 years due to the high rate of snow accumulation at both core sites and the small sample sizes used for analysis. The two sulfate records are consistent with each other. A systematic and objective method of separating outstanding sulfate events from the background sulfate flux is proposed and used to identify all volcanic signals. The resulting volcanic chronology covering 1417-1989 A.D. resolves temporal ambiguities about several recently discovered events. A number of previously unknown, moderate eruptions during late 1600s are uncovered in this chronology. The eruption of Tambora (1815) and the recently discovered eruption of Kuwae (1453) in the tropical South Pacific injected the greatest amount of sulfur dioxide into the southern hemisphere stratosphere during the last half millennium. A technique for comparing the magnitude of volcanic events preserved within different ice cores is developed using normalized sulfate flux. For the same eruptions the variability of the volcanic sulfate flux between the cores is within +/- 20% of the sulfate flux from the Tambora eruption.</t>
  </si>
  <si>
    <t>OHIO STATE UNIV, DEPT GEOG, COLUMBUS, OH 43210 USA; OHIO STATE UNIV, DEPT GEOL SCI, COLUMBUS, OH 43210 USA</t>
  </si>
  <si>
    <t>10.1029/97JD01394</t>
  </si>
  <si>
    <t>WOS:A1997XN38400025</t>
  </si>
  <si>
    <t>Chappellaz, J; Blunier, T; Kints, S; Dallenbach, A; Barnola, JM; Schwander, J; Raynaud, D; Stauffer, B</t>
  </si>
  <si>
    <t>Changes in the atmospheric CH4 gradient between Greenland and Antarctica during the Holocene</t>
  </si>
  <si>
    <t>LAST GLACIAL MAXIMUM; VOSTOK ICE CORE; POLAR ICE; METHANE; CLIMATE; RECORD; AIR; TEMPERATURE; CYCLE; ACCUMULATION</t>
  </si>
  <si>
    <t>High-resolution records of atmospheric methane over the last 11,500 years have been obtained from two Antarctic ice cores (D47 and Byrd) and a Greenland core (Greenland Ice Core Project). These cores show similar trapping conditions for trace gases in the ice combined with a comparable sampling resolution this together with a good relative chronology, provided by unequivocal CH4 features, allows a direct comparison of the synchronized Greenland and Antarctic records, and it reveals significant changes in the interpolar difference of CH4 mixing ratio with time. On the average, over the full Holocene records, we find an interpolar difference of 44+/-7 ppbv. A minimum difference of 33+/-7 ppbv is observed from 7 to 5 kyr B.P. whereas the maximum gradient (50+/-3 ppbv) took place from 5 to 2.5 kyr B.P. A gradient of 44+/-4 ppbv is observed during the early Holocene (11.5 to 9.5 kyr B.P). We use a three-bar model to translate the measured differences into quantitative contributions of methane sources in the tropics and the middle to high latitudes of the northern hemisphere. The model results support the previous interpretation that past natural CH4 sources mainly lay in tropical regions, but it also suggests that boreal regions provided a significant contribution to the CH4 budget especially at the start of the Holocene. The growing extent of peat bogs in boreal regions would also have counterbalanced the drying of the tropics over the second half of the Holocene, Finally, our model results suggest a large source increase in tropical regions from the late Holocene to the last millennium, which may partly be caused by anthropogenic emissions.</t>
  </si>
  <si>
    <t>UNIV BERN, INST PHYS, CH-3012 BERN, SWITZERLAND</t>
  </si>
  <si>
    <t>Chappellaz, J (corresponding author), CNRS, LAB GLACIOL &amp; GEOPHYS ENVIRONM, 54 RUE MOLIERE, BP 96, F-38402 ST MARTIN DHERES, FRANCE.</t>
  </si>
  <si>
    <t>Raynaud, Dominique/H-9626-2016; raynaud, dominique/ABG-4718-2020; Chappellaz, Jérôme A./A-4872-2011; Blunier, Thomas/M-4609-2014</t>
  </si>
  <si>
    <t>JUL 20</t>
  </si>
  <si>
    <t>D13</t>
  </si>
  <si>
    <t>10.1029/97JD01017</t>
  </si>
  <si>
    <t>XM347</t>
  </si>
  <si>
    <t>WOS:A1997XM34700011</t>
  </si>
  <si>
    <t>Lou, GP; Alyea, FN; Cunnold, DM; Kindler, TP</t>
  </si>
  <si>
    <t>N2O transport in a three-dimensional model driven by UK Meteorological Office winds</t>
  </si>
  <si>
    <t>STRATOSPHERIC POLAR VORTEX; GENERAL-CIRCULATION MODEL; NITROUS-OXIDE; ANTARCTIC STRATOSPHERE; SOUTHERN-HEMISPHERE; TRACE CONSTITUENTS; DOWNWARD CONTROL; OZONE; WINTER; SIMULATION</t>
  </si>
  <si>
    <t>A three-dimensional spectral chemical transport model truncated at T21 is employed to simulate N2O transport. The wind and vertical motion fields are taken from the U.K. Meteorological Office four-dimensional assimilation dataset. UARS cryogenic limb array etalon spectrometer (CLAES) N2O measurements are used to initialize the model in late August 1992. Model results are shown to simulate the CLAES measurements quite well over the first few months: N2O variability is similar at extratropical latitudes in the southern hemisphere over the period September 2-17, 1992, at 4.6 and 10 mbar, and there is good agreement in the synoptic maps of minor warmings during this period. Prior to a large warming event on September 30, minor stratospheric warmings are shown to produce negligible changes in the vortex below 4.6 mbar, but considerable mixing of air from the vortex edge and subtropical air is indicated. This results in a steepening of the N2O gradient at the vortex edge. During a warming event when the vortex center moves away from the pole, downward transport by the residual circulation can be large. This is offset by eddy transport effects, but these terms reverse during the recovery from the warming. From September 2 to 17, there is evidence of continuous mixing at midlatitudes at 4.6 mbar in contrast to more discontinuous, warming-associated mixing at 10 mbar. The breakup of the vortex is initiated by the September 30 warming, and a warming on October 13 has a strong influence on the breakup. The breakup propagates downward. The climatological distribution of N2O in the tropics follows the seasonal variation of the solar radiation with a maximum, which is determined by the strength of the upward residual motion, shifting towards the summer hemisphere by 10 degrees-15 degrees latitude. The surf zone in both the model and the observations at the middle latitudes is well defined, but the gradients of N2O at the edge of the tropics and at the edge of the vortex are smaller in the model than in the observations. This is probably being caused by excessive mixing in the model.</t>
  </si>
  <si>
    <t>Lou, GP (corresponding author), GEORGIA INST TECHNOL, SCH EARTH &amp; ATMOSPHER SCI, ATLANTA, GA 30332 USA.</t>
  </si>
  <si>
    <t>10.1029/97JD00769</t>
  </si>
  <si>
    <t>WOS:A1997XM34700018</t>
  </si>
  <si>
    <t>Kirchhoff, VWJH; Sahai, Y; Casiccia, CAR; Zamorano, F; Valderrama, V</t>
  </si>
  <si>
    <t>Observations of the 1995 ozone hole over Punta Arenas, Chile</t>
  </si>
  <si>
    <t>CONCENTRATION CELL OZONESONDE; ULTRAVIOLET-RADIATION; STRATOSPHERIC OZONE; DEPLETION; SURFACE; CLIMATOLOGY; LATITUDES; IMPACT; TRENDS; BRAZIL</t>
  </si>
  <si>
    <t>We examine the appearance of the ozone hole over a populated area with more than 100,000 inhabitants. The largest population concentrations on the South American continent nearest the ozone hole region are Punta Arenas, Chile (53.0 degrees S, 70.9 degrees W) and Ushuaia, Argentina (54.5 degrees S, 68.0 degrees W), located close to the strait of Magallanes, opposite the Antarctic Peninsula. A special field mission was held in Punta Arenas, in September-October 1995 to investigate the vertical distribution of ozone during the appearance of the Antarctic ozone hole. Previous work has shown that the city of Punta Arenas is located at the edge of the hole area and is affected every year during a few days in the October period. The ozone trend near these locations is -0.5% per year using the yearly averages and -1.2% per year using the October means. This trend is 2 to 5 times larger than the global average. Several ozonesondes of the electrochemical concentration cell type were launched from Punta Arenas to determine the vertical distribution of ozone during ''normal'' and ''perturbed'' conditions. The ozone hole passed over Punta Arenas on October 12, 13 and 14, 1995. In addition to the sondes, which were launched once a day, ozone column amounts and UVB radiation were measured with a ground-based ozone Brewer spectrophotometer. The strongest ozone depletion over Punta Arenas in 1995 occurred on October 13, when the ozone column decreased from a ''normal'' value of about 325 Dobson Units (DU) to 200 DU; the vertical distribution of ozone on October 13 compared with October 6 shows depleted ozone roughly 50% less during hole conditions in the stratosphere. The UVB intensities have increased accordingly. The spectral ratio for October 13 to October 4 is 13 times larger at 297 nm.</t>
  </si>
  <si>
    <t>UNIV MAGALLANES, PUNTA ARENAS, CHILE</t>
  </si>
  <si>
    <t>Universidad de Magallanes</t>
  </si>
  <si>
    <t>Kirchhoff, VWJH (corresponding author), INST NACL PESQUISAS ESPACIAIS, CP 515, BR-12201970 SAO JOSE DOS CAMPOS, SP, BRAZIL.</t>
  </si>
  <si>
    <t>Sahai, Yogeshwar/C-4855-2012</t>
  </si>
  <si>
    <t>10.1029/97JD00276</t>
  </si>
  <si>
    <t>WOS:A1997XM34700021</t>
  </si>
  <si>
    <t>delRio, CJ</t>
  </si>
  <si>
    <t>Cenozoic biogeographic history of the eurythermal genus Retrotapes, new genus (subfamily tapetinae) from southern South America and Antarctica</t>
  </si>
  <si>
    <t>Tapetinae; Retrotapes; new genus; biogeography; Neoaustral; Tertiary; Argentina; Chile; Antarctica</t>
  </si>
  <si>
    <t>LA-MESETA FORMATION; SEYMOUR ISLAND; EOCENE; TERTIARY; PENINSULA; MOLLUSCA</t>
  </si>
  <si>
    <t>Retrotapes, new genus, comprises a group of Neoaustral bivalves that appeared in the southern circumpolar regions by the Eocene and have since been confined to the high latitudes of the southern hemisphere. Its presence in the Tertiary strata of Antarctica and southern South America reflects an active faunal interchange between both regions during the Eocene. Retrotapes is here proposed to include to those Recent and Tertiary representatives of the Subfamily Tapetinae (Family Veneridae) from southern South America and Antarctica that had been previously placed in Venus Linne, 1758, Marcia H. and A. Adams, 1857, Eurhomalea Cossmann, 1920, Samarangia Dall,1902, and Kalelysia Romer, 1857. The Argentine Tertiary species Retrotapes ninfasiensis, new species, R, fuegoensis, new species, R. striatolamellata (Ihering, 1897) and R, scutata (Ihering, 1907) are here described and illustrated. The Recent Argentine Venus exalbida Chemnitz, 1795 and Venus lenticularis Sowerby, 1835, the Antarctic V, antarctica Sharman and Newton, 1894 and V. newtoni Wilckens, 1911 (Eocene-early Oligocene?, La Meseta Formation), and the Neogene Chilean species V. navidadis Philippi, 1887 and V. colchaguensis Philippi, 1881 are also included in this new genus.</t>
  </si>
  <si>
    <t>delRio, CJ (corresponding author), CTR INVEST RECURSOS GEOL, RAMIREZ DE VELAZCO 847, RA-1414 BUENOS AIRES, DF, ARGENTINA.</t>
  </si>
  <si>
    <t>JUL 18</t>
  </si>
  <si>
    <t>XM089</t>
  </si>
  <si>
    <t>WOS:A1997XM08900001</t>
  </si>
  <si>
    <t>Nichols, DS; Brown, JL; Nichols, PD; McMeekin, TA</t>
  </si>
  <si>
    <t>Production of eicosapentaenoic and arachidonic acids by an Antarctic bacterium: Response to growth temperature</t>
  </si>
  <si>
    <t>FEMS MICROBIOLOGY LETTERS</t>
  </si>
  <si>
    <t>Antarctic; psychrophile; eicosapentaenoic acid; arachidonic acid</t>
  </si>
  <si>
    <t>POLYUNSATURATED FATTY-ACIDS; PHOSPHATIDYLCHOLINES; FLAVOBACTERIUM; CHAINS</t>
  </si>
  <si>
    <t>A psychrophilic bacterium, designated strain 651, was isolated from Antarctic sea ice collected from Prydz Bay, Eastern Antarctica. The fatty acid composition of the strain was characteristic of the Flavobacterium-Cytophaga-Microscilla group. The bacterium also produced 12.2-2.6% eicosapentaenoic acid (20:5 omega 3) and 1.4-2.7% arachidonic acid (20:4 omega 6). To our knowledge this is the first report of a bacterium that contains elevated proportions of both fatty acids. The proportion of eicosapentaenoic acid responded to growth temperature in a linear manner over the temperature range 2-15 degrees C while the percentage of arachidonic acid remained relatively unchanged. Eicosapentaenoic acid appears to modulate both lipid phase and fluidity in response to temperature within the cellular membrane of strain 651, while arachidonic acid does not appear to be involved in this response. Further study of the polyunsaturated fatty acid biosynthetic mechanisms of strain 651 may yield significant information regarding the relationship between prokaryotic and eukaryotic polyunsaturated fatty acid biosynthesis.</t>
  </si>
  <si>
    <t>UNIV TASMANIA,DEPT AGR SCI,HOBART,TAS 7001,AUSTRALIA; CSIRO,DIV MARINE RES,HOBART,TAS 7001,AUSTRALIA</t>
  </si>
  <si>
    <t>Nichols, DS (corresponding author), UNIV TASMANIA,ANTARCTIC CRC,GPO BOX 252-54,HOBART,TAS 7001,AUSTRALIA.</t>
  </si>
  <si>
    <t>Nichols, Peter D/C-5128-2011; Brown, Janelle/B-6629-2011</t>
  </si>
  <si>
    <t>Nichols, David/0000-0002-8066-3132; Brown, Janelle/0000-0002-9125-8474</t>
  </si>
  <si>
    <t>0378-1097</t>
  </si>
  <si>
    <t>FEMS MICROBIOL LETT</t>
  </si>
  <si>
    <t>FEMS Microbiol. Lett.</t>
  </si>
  <si>
    <t>JUL 15</t>
  </si>
  <si>
    <t>10.1111/j.1574-6968.1997.tb10451.x</t>
  </si>
  <si>
    <t>XL008</t>
  </si>
  <si>
    <t>WOS:A1997XL00800024</t>
  </si>
  <si>
    <t>Hogg, NG; Zenk, W</t>
  </si>
  <si>
    <t>Long-period changes in the bottom water flowing through Vema Channel</t>
  </si>
  <si>
    <t>BASIN</t>
  </si>
  <si>
    <t>Further details of the ''warming'' of bottom water flowing through the Vema Channel, first reported by Zenk and Hogg [1996], are given. Because cross-channel gradients of temperature are large and the channel is narrow, careful analysis is required to determine whether or not the bottom water temperature minimum was adequately sampled by a particular station or cruise. During a period from 1972 to 1996, at least 14 visits with quality hydrographic measurements have been made to the region. Of these, 11 were judged successful, and their data indicate an abrupt rise in potential temperature by 0.03 degrees C front -0.18 degrees C to -0.15 degrees C in the early 1990s that has remained until the latest observation in the spring of 1996. Although this observation is consistent with the report of warming of Antarctic Bottom Water in the Argentine Basin by Coles et al. [1996], their associated conclusion that this water mass has also freshened by 0.008 psu (on potential density surfaces) is in contradiction with our finding of no measurable change.</t>
  </si>
  <si>
    <t>CHRISTIAN ALBRECHTS UNIV KIEL,INST MEERESKUNDE,D-24105 KIEL,GERMANY</t>
  </si>
  <si>
    <t>Hogg, NG (corresponding author), WOODS HOLE OCEANOG INST,DEPT PHYS OCEANOG,CLARK LAB 3,MAIL STOP 21,WOODS HOLE,MA 02543, USA.</t>
  </si>
  <si>
    <t>C7</t>
  </si>
  <si>
    <t>10.1029/97JC00591</t>
  </si>
  <si>
    <t>XL452</t>
  </si>
  <si>
    <t>WOS:A1997XL45200007</t>
  </si>
  <si>
    <t>England, MH; Hirst, AC</t>
  </si>
  <si>
    <t>Chlorofluorocarbon uptake in a World Ocean model .2. Sensitivity to surface thermohaline forcing and subsurface mixing parameterizations</t>
  </si>
  <si>
    <t>GENERAL-CIRCULATION MODELS; ANTARCTIC INTERMEDIATE WATER; ATMOSPHERE MODEL; TRANSIENT RESPONSES; TRACER TRANSPORTS; DEEP CONVECTION; GRADUAL CHANGES; HEAT-TRANSPORT; ATLANTIC-OCEAN; NORTH-ATLANTIC</t>
  </si>
  <si>
    <t>Part 1 of this study [England et al., 1994] examined the sensitivity of simulated oceanic chlorofluorocarbon (CFC) to changes in the way the air-sea gas exchange rate is parameterized in a World Ocean model. In part 2 we consider more closely the role of surface thermohaline forcing and subsurface mixing parameterizations in redistributing CFC-11 and CFC-12 in the ocean. In particular, a series of five different model ocean experiments are forced with the same air-sea CFC flux parameterization. The five cases include (1) a control run with a standard seasonal cycle in surface forcing and traditional Cartesian mixing, (2) a run in which the production rate and salinity of Antarctic Bottom Water (AABW) is increased, (3) a run in which the production, outflow rates, and density of North Atlantic Deep Water (NADW) is increased, (4) a run with enhanced isopycnal mixing of passive tracers, and finally (5) a run in which the effects of eddies on the mean ocean flow are parameterized following Gent and McWilliams [1990]. The simulated CFC uptake in the Southern Ocean far exceeds observations in the first four experiments. The excessive uptake is linked to the poor model simulations of Southern Ocean deep water masses, where, for example, model Circumpolar Deep Water is typically 0.2 to 0.4 kg m(-3) too buoyant. The insufficient density of the deep water allows for extensive penetration of convective adjustment to great depth during winter, in contrast to observations, and this results in excessive downward mixing of the CFC-enriched surface waters. Compared with the control experiment, the Southern Ocean CFC uptake is reduced in the cases with increased AABW salinity and NADW density, as a result of slightly higher deep water density and reduced wintertime convection in those experiments. Nevertheless, CFC uptake in the Southern Ocean still substantially exceeds observed ocean CFC content in the adjusted surface forcing cases. The most extreme uptake occurs in case 4, where, in addition to deep convective mixing of CFC, there is also mixing into the ocean interior along isopycnal surfaces having an unrealistic orientation. The Southern Ocean CFC uptake in case 5, using the mixing scheme of Gent and McWilliams [1990], is dramatically reduced over that in the other runs. Only in this run do deep densities approach the observed values, and wintertime convection is largely suppressed south of the Antarctic Circumpolar Current. Deep penetration of CFC-rich water occurs only in the western Weddell and Ross Seas. This run yields CFC sections in the Southern Ocean which compare most favourably with observations, although substantial differences still exist between observed and simulated CFC. The simulation of NADW production is problematic in all runs, with the CFC signature indicating primary source regions in the Labrador Sea and immediately to the southeast of Greenland, while the Norwegian-Greenland Sea overflow water (which is dominant in reality) plays only a minor role. Lower NADW is insufficiently dense in all runs. Only in the run with surface forcing designed to enhance NADW production does the CFC signal penetrate down the western Atlantic boundary in a realistic manner. However, this case exhibits an unrealistic net ocean surface heat loss adjacent to Greenland and so cannot be advocated as a technique to improve model NADW production. Conventional depth sections and volumetric maps of CFC concentration indicate that on the decadal timescales resolved by CFC uptake the dominant determining factor in overall model ventilation is the choice of subsurface mixing scheme. The surface thermohaline forcing only determines more subtle aspects of the subsurface CFC content. This means that the choice of subgrid-scale mixing scheme plays a key role in determining ocean model ventilation over decadal to centennial timescales. This has important implications for climate model studies.</t>
  </si>
  <si>
    <t>CSIRO,DIV ATMOSPHER RES,ASPENDALE,VIC 3195,AUSTRALIA</t>
  </si>
  <si>
    <t>England, MH (corresponding author), UNIV NEW S WALES,SCH MATH,SYDNEY,NSW 2052,AUSTRALIA.</t>
  </si>
  <si>
    <t>Hirst, Anthony/N-1041-2014; Hirst, Anthony/E-2756-2013; England, Matthew/A-7539-2011</t>
  </si>
  <si>
    <t>England, Matthew/0000-0001-9696-2930</t>
  </si>
  <si>
    <t>10.1029/97JC00438</t>
  </si>
  <si>
    <t>WOS:A1997XL45200013</t>
  </si>
  <si>
    <t>Bahou, M; SchriverMazzuoli, L; CamyPeyret, C; Schriver, A</t>
  </si>
  <si>
    <t>Photolysis of ozone at 693 nm in solid oxygen. Isotopic effects in ozone reformation</t>
  </si>
  <si>
    <t>ANTARCTIC OZONE; SPECTROSCOPY; PHOTOCHEMISTRY; DEPLETION</t>
  </si>
  <si>
    <t>The photodissociation of O-18(3) (fully substituted ozone or 888) in the visible region has been studied in a natural oxygen matrix at 10 K combining 693 nm laser irradiation with infrared absorption spectroscopy. Ozone 888 is converted to the (unsymmetrical and symmetrical) 668 and 686 species which are further converted to the normal 666 species through the exchange of O-18 with O-16 atoms. The overall photodissociation of 888 is a first-order process and a reasonably simple model is proposed which reproduces satisfactorily the observed kinetic results. The value of the photolytic kinetic rate constant suggests an increase in the absorption cross section for the visible band with respect to that measured in the gas phase, The experiments suggest an enhanced formation rate of the unsymmetrical 668 species with respect to the symmetrical species 686 during the O-18 oxygen atom recombination with the matrix O-16(2) molecules. (C) 1997 Elsevier Science B.V.</t>
  </si>
  <si>
    <t>UNIV PARIS 06,CNRS,LAB PHYS MOL &amp; APPLICAT,F-75252 PARIS 05,FRANCE; UNIV PARIS 13,F-93430 VILLETANEUSE,FRANCE; UNIV PARIS 11,LAB PHYS MOL &amp; APPLICAT,PARIS,FRANCE</t>
  </si>
  <si>
    <t>Centre National de la Recherche Scientifique (CNRS); Sorbonne Universite; Universite Paris 13; Universite Paris Saclay</t>
  </si>
  <si>
    <t>JUL 11</t>
  </si>
  <si>
    <t>10.1016/S0009-2614(97)00590-3</t>
  </si>
  <si>
    <t>XK950</t>
  </si>
  <si>
    <t>WOS:A1997XK95000005</t>
  </si>
  <si>
    <t>ZredaGostynska, G; Kyle, PR; Finnegan, D; Prestbo, KM</t>
  </si>
  <si>
    <t>Volcanic gas emissions from Mount Erebus and their impact on the Antarctic environment</t>
  </si>
  <si>
    <t>ATMOSPHERIC TRACE-METALS; STRATOSPHERIC AEROSOLS; ANTHROPOGENIC LEAD; AIRBORNE PARTICLES; GLOBAL POLLUTION; SULFUR-DIOXIDE; ROSS ISLAND; SOUTH-POLE; ERUPTIONS; ELEMENTS</t>
  </si>
  <si>
    <t>Emission rates of SO2, HCl, and HF from the active volcano Mount Erebus Antarctica, increased between 1986 and 1991; SO2 from 7.7 to 25.9 Gg yr(-1), HCl from 6.9 to 13.3 Gg yr(-1) and HF from 4.0 to 6.0 Gg yr(-1). The emission rates of halogens from Mount Erebus are high relative to SO, emissions and are accompanied by relatively high emissions of trace gases and aerosols (Na, K, As, Zn, In, As, Se, and Au): Many elements (S, Cl, and metals) found in the Erebus plume are common impurities in Antarctic snow. Using a model which assumes a homogeneous distribution of the volcanic gas plume over Antarctica, we suggest that Erebus could be a source of the impurities. We calculate that Erebus could potentially contribute between 4 and 14 ng g(-1) snow of Cl at the south pole, and between 11 and 36 ng g(-1) snow of Cl at Dome C. Excess Cl (Cl in excess of that derived from marine NaCl aerosols) recorded in snow and firn cores from south pole and Dome C could be mainly derived from Erebus. Similarly, our predicted concentrations of Erebus-derived Cu, Zn, Cd, V, As, and Au in Antarctic snow are close to those reported. Trace element and Pb isotope compositions of Erebus aerosols are similar to those collected in remote regions of Antarctica. The volcanic gas plume emitted from Erebus appears to make a significant contribution to the Antarctic atmosphere and can be detected in the snow deposited over a wide area of the continent.</t>
  </si>
  <si>
    <t>NEW MEXICO INST MIN &amp; TECHNOL, DEPT EARTH &amp; ENVIRONM SCI, SOCORRO, NM 87801 USA; LOS ALAMOS NATL LAB, LOS ALAMOS, NM USA</t>
  </si>
  <si>
    <t>New Mexico Institute of Mining Technology; United States Department of Energy (DOE); Los Alamos National Laboratory</t>
  </si>
  <si>
    <t>JUL 10</t>
  </si>
  <si>
    <t>B7</t>
  </si>
  <si>
    <t>10.1029/97JB00155</t>
  </si>
  <si>
    <t>XJ831</t>
  </si>
  <si>
    <t>WOS:A1997XJ83100018</t>
  </si>
  <si>
    <t>Cochran, JR; Sempere, JC</t>
  </si>
  <si>
    <t>The southeast Indian ridge between 88 degrees E and 118 degrees E: Gravity anomalies and crustal accretion at intermediate spreading rates</t>
  </si>
  <si>
    <t>MID-ATLANTIC RIDGE; EAST PACIFIC RISE; AUSTRALIAN-ANTARCTIC DISCORDANCE; MIDOCEAN RIDGES; AXIS GRAVITY; OCEAN RIDGE; MAGMA CHAMBER; MANTLE FLOW; MORPHOLOGY; THICKNESS</t>
  </si>
  <si>
    <t>Although slow spreading ridges characterized by a deep axial valley and fast spreading ridges characterized by an axial bathymetric high have been extensively studied, the transition between these two modes of axial morphology is not well understood. We conducted a geophysical-survey of the intermediate spreading rate Southeast Indian Ridge between 88 degrees E and 118 degrees E, a 2300-km-long section of the ridge located between the Amsterdam hot spot and the Australian-Antarctic Discordance where satellite gravity data suggest that the Southeast Indian Ridge (SEIR) undergoes a change from an axial high in the west to an axial valley in the east. A basic change in axial morphology is found near 103 degrees 30'E in the shipboard data; the axis to the west is marked by an axial high, while a valley is found to the east. Although a well-developed axial high, characteristic of the East Pacific Rise (EPR), is occasionally present, the more common observation is a rifted high that is lower and pervasively faulted, sometimes with significant (&gt; 50 m throw) faults within a kilometer of the axis. A shallow axial valley (&lt; 700 m deep) is observed from 104 degrees E to 114 degrees E with a sudden change to a deep (&gt;1200 m deep) valley across a transform at 114 degrees E. The changes in axial morphology along the SEIR are accompanied by a 500 m increase in near-axis ridge flank depth from 2800 m near 88 degrees E to 3300 m near 114 degrees E and by a 50 mGal increase in the regional level of mantle Bouguer gravity anomalies over the same distance, The regional changes in depth and mantle Bouguer anomaly (MBA) gravity can be both explained by a 1.7-2.4 km change in crustal thickness or by a mantle temperature change of 50 degrees C-90 degrees C. In reality, melt supply (crustal thickness) and mantle temperature are linked, so that changes in both may occur simultaneously and these estimates serve as upper bounds. The along-axis MBA gradient is not uniform. Pronounced steps in the regional level of the MBA gravity occur at 103 degrees 30'E-104 degrees E and at 114 degrees E-116 degrees E and correspond to the changes in the nature of the axial morphology and in the amplitude of abyssal hill morphology suggesting that the different forms of morphology do not grade into each other but rather represent distinctly different forms of axial (s)tructure and tectonics with a sharp transition between them. The change from an axial high to an axial valley requires a threshold effect in which the strength of the lithosphere changes quickly. The presence or absence of a quasi-steady state magma chamber may provide such a mechanism. The different forms of axial morphology are also associated with different intrasegment MBA gravity patterns. Segments with an axial high have an MBA low located at a depth minimum near the center of the segment, At EPR-like segments, the MBA low is about 10 mGal with along-axis gradients of 0.15-0.25 mGal/km, similar to those observed at the EPR, Rifted highs have a shallower low and lower gradients suggesting an attenuated composite magma chamber and a reduced and perhaps episodic melt supply. Segments with a shallow axial valley have very flat along-axis MBA profiles with little correspondence between axial depth and axial MBA gravity.</t>
  </si>
  <si>
    <t>OREGON STATE UNIV, COLL OCEAN &amp; ATMOSPHER SCI, CORVALLIS, OR 97331 USA; BROWN UNIV, DEPT GEOL SCI, PROVIDENCE, RI 02912 USA; IFREMER, DEPT GEOSCI MARINES, F-29280 PLOUZANE, FRANCE; UNIV TEXAS, INST GEOPHYS, AUSTIN, TX 78759 USA; UNIV TOKYO, EARTHQUAKE RES INST, BUNKYO KU, TOKYO 113, JAPAN; EXXON PROD RES CO, HOUSTON, TX 77252 USA; UNIV WASHINGTON, SCH OCEANOG, SEATTLE, WA 98195 USA; OBSERV MIDI PYRENEES, GRP RECH GEODESIE SPATIALE, UMR 5566, F-31400 TOULOUSE, FRANCE; COLUMBIA UNIV, LAMONT DOHERTY EARTH OBSERV, NEW YORK, NY 10027 USA</t>
  </si>
  <si>
    <t>Oregon State University; Brown University; Ifremer; University of Texas System; University of Texas Austin; University of Tokyo; Exxon Mobil Corporation; University of Washington; University of Washington Seattle;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Columbia University</t>
  </si>
  <si>
    <t>COLUMBIA UNIV, LAMONT DOHERTY EARTH OBSERV, PALISADES, NY 10964 USA.</t>
  </si>
  <si>
    <t>10.1029/97JB00511</t>
  </si>
  <si>
    <t>WOS:A1997XJ83100047</t>
  </si>
  <si>
    <t>Sempere, JC; Cochran, JR</t>
  </si>
  <si>
    <t>The southeast Indian ridge between 88 degrees E and 118 degrees E: Variations in crustal accretion at constant spreading rate</t>
  </si>
  <si>
    <t>AUSTRALIAN-ANTARCTIC DISCORDANCE; MID-ATLANTIC RIDGE; MIDOCEAN RIDGES; AXIS GRAVITY; SEGMENTATION; MORPHOLOGY; BENEATH; PROPAGATION; TOPOGRAPHY; EVOLUTION</t>
  </si>
  <si>
    <t>The temperature of the mantle and the rate of melt production are parameters which play important roles in controlling the style of crustal accretion along mid-ocean ridges. To investigate the variability in crustal accretion that develops in response to variations in mantle temperature, we have conducted a geophysical investigation of the Southeast Indian Ridge (SEIR) between the Amsterdam hotspot and the Australian-Antarctic Discordance (88 degrees E-118 degrees E). The spreading center deepens by 2100 m from west to east within the study area. Despite a uniform, intermediate spreading rate (69-75 mm yr-l), the SEIR exhibits the range in axial morphology displayed by the East Pacific Rise and the Mid-Atlantic Ridge (MAR) and usually associated with variations in spreading rate. The spreading center is characterized by an axial high west of 102 degrees 45'E, whereas an axial valley is prevalent east of this longitude. Both the deepening of the ridge axis and the general evolution of axial morphology from an axial high to a rift valley are not uniform. A region of intermediate morphology separates axial highs and MAR-like rift valleys. Local transitions in axial morphology occur in three areas along the ridge axis. The increase in axial depth toward the Australian-Antarctic Discordance may be explained by the thinning of the oceanic crust by similar to 4 km and the change in axial topography. The long-wavelength changes observed along the SEIR can be attributed to a gradient in mantle temperature between regions influenced by the Amsterdam and Kerguelen hot spots and the Australian-Antarctic Discordance. However, local processes, perhaps associated with an heterogeneous mantle or along-axis asthenospheric flow, may give rise to local transitions in axial topography and depth anomalies.</t>
  </si>
  <si>
    <t>OREGON STATE UNIV, COLL OCEAN &amp; ATMOSPHER SCI, CORVALLIS, OR 97331 USA; COLUMBIA UNIV, LAMONT DOHERTY GEOL OBSERV, PALISADES, NY 10964 USA; BROWN UNIV, DEPT GEOL SCI, PROVIDENCE, RI 02912 USA; IFREMER, DEPT GEOSCI MARINES, F-29280 PLOUZANE, FRANCE; UNIV TEXAS, INST GEOPHYS, AUSTIN, TX 78759 USA; UNIV TOKYO, EARTHQUAKE RES INST, BUNKYO KU, TOKYO 113, JAPAN; UNIV WASHINGTON, SCH OCEANOG, SEATTLE, WA 98195 USA</t>
  </si>
  <si>
    <t>Oregon State University; Columbia University; Brown University; Ifremer; University of Texas System; University of Texas Austin; University of Tokyo; University of Washington; University of Washington Seattle</t>
  </si>
  <si>
    <t>Sempere, JC (corresponding author), EXXON PROD RES CO, POB 2189, HOUSTON, TX 77252 USA.</t>
  </si>
  <si>
    <t>10.1029/97JB00171</t>
  </si>
  <si>
    <t>WOS:A1997XJ83100048</t>
  </si>
  <si>
    <t>Digenea of fishes of the Weddell Sea .4. Three opecoelid species of the genera Neolebouria, Helicometra and Stenakron</t>
  </si>
  <si>
    <t>N-SP; PARASITES</t>
  </si>
  <si>
    <t>The following opecoelid digeneans are described from bony fishes of the Weddell Sea: Neolebouria terranovaensis Zdzitowiecki, Pisano et Vacchi, 1993 from Paraliparis antarcticus (Liparididae, new host family); Helicometra rakusai sp. n. from Trematomus loennbergi (Nototheniidae); Stenakron glacialis Zdzitowiecki, 1989 from Racovitzia glacialis (Bathydraconidae) and Pogonophryne marmorata (Artedidraconidae, new host family). H. rakusai sp. n. has terminal oral sucker (similarly to the second Antarctic species, H. antarcticae Holloway et Bier, 1968), but its ventral sucker is considerably smaller than the oral sucker - sucker ratio based on mean diameter 1:0.71-0.87 (mean 1:0.81), that based on width 1:0.65-0.99 (mean 1:0.83). Both other species are recorded in the Weddell Sea for the first time.</t>
  </si>
  <si>
    <t>POLISH ACAD SCI,DEPT ANTARCTIC BIOL,PL-02141 WARSAW,POLAND</t>
  </si>
  <si>
    <t>Zdzitowiecki, K (corresponding author), POLISH ACAD SCI,W STEFANSKI INST PARASITOL,TWARDA 51-55,PL-00818 WARSAW,POLAND.</t>
  </si>
  <si>
    <t>JUL</t>
  </si>
  <si>
    <t>YC864</t>
  </si>
  <si>
    <t>WOS:A1997YC86400003</t>
  </si>
  <si>
    <t>Digenea of fishes of the Weddell Sea .5. Two new species of the genus Steringophorus (Fellodistomidae)</t>
  </si>
  <si>
    <t>ATLANTIC</t>
  </si>
  <si>
    <t>Steringophorus arntzi sp. n. is described from notothenioid fishes, Bathydraco marri (type-host, Bathydraconidae) and Dolloidraco longedorsalis (Artedidraconidae). This species resembles S. furciger (Olsson, 1868), but it is distinguished from that by eggs with a short filament, entire ovary (only with irregular margins), less elongate body and a post-bifurcal genital pore. Its area of distribution, the Antarctic, is distant from that of S. furciger (in the north hemisphere). Steringophorus liparidis sp. n. is described from Paraliparis antarcticus (Liparididae). This species resembles S. thulini Bray et Gibson, 1980, but it is distinguished by eggs with a spine on the anopercular pole, longer intestinal caeca, vitelline fields situated more anteriorly in relation to the ventral sucker, different hosts (liparidids contrary to gadiforms) and area of distribution (the Antarctic contrary to the north Atlantic). Occurrence of fellodistomid digeneans in the Antarctic subcontinental waters is recorded for the first time.</t>
  </si>
  <si>
    <t>WOS:A1997YC86400004</t>
  </si>
  <si>
    <t>Acierno, R; Agnisola, C; Tota, B; Sidell, BD</t>
  </si>
  <si>
    <t>Myoglobin enhances cardiac performance in antarctic icefish species that express the protein</t>
  </si>
  <si>
    <t>AMERICAN JOURNAL OF PHYSIOLOGY-REGULATORY INTEGRATIVE AND COMPARATIVE PHYSIOLOGY</t>
  </si>
  <si>
    <t>Chionodraco rastrospinosus; Chaenocephalus aceratus; isolated, perfused hearts</t>
  </si>
  <si>
    <t>PERFUSED FISH HEARTS; CHAENOCEPHALUS-ACERATUS; OXYGEN; HEMOGLOBIN; TISSUE</t>
  </si>
  <si>
    <t>Channichthyid icefishes of Antarctica are unique among adult vertebrates. All icefish species lack hemoglobin and red blood cells in their circulating blood. All icefishes examined to date also lack the intracellular oxygen-binding protein myoglobin (Mb) in their oxidative skeletal muscles. However, some icefish species do express Mb in their heart ventricles. It is unknown whether Mb in those species in which it is present represents an evolutionary relic or has functional significance. To address this problem, we compared mechanical performance of isolated, perfused hearts from two species of icefish in which Mb is either present (Chionodraco rastrospinosus) or is absent (Chaenocephalus aceratus). Hearts were challenged with increasing afterload (2.5-4.0 kPa) under conditions of defined basal flow (similar to 100 ml . min(-1). kg(-1)), in both the presence and absence of 5 mM sodium nitrite, a Mb poison. Unlike hearts from C. aceratus, which were unable to maintain a constant cardiac output under pressure loading, those from C. rastrospinosus retained a constant flow up to 3.5 kPa afterload. At the upper range of power outputs, hearts of Mb-lacking C. aceratus display greater oxygen utilization than those of Mb-containing C. rastrospinosus. Poisoning of Mb significantly impaired the ability of C. rastrospinosus hearts to face pressure loading without reduction in flow, whereas those of C. aceratus were refractory to the treatment. The results strongly support a functional role for Mb in the former species.</t>
  </si>
  <si>
    <t>UNIV MAINE, DEPT ZOOL, ORONO, ME 04469 USA; UNIV LECCE, DIPARTIMENTO BIOL, I-73100 LECCE, ITALY; UNIV NAPLES, DIPARTIMENTO FISIOL GEN AMBIENTALE, I-80131 NAPLES, ITALY; UNIV CALABRIA, DIPARTIMENTO BIOL CELLULARE, I-87030 ARCAVACATA, ITALY; STAZ ZOOL ANTON DOHRN, I-80121 NAPLES, ITALY; UNIV MAINE, SCH MARINE SCI, ORONO, ME 04469 USA</t>
  </si>
  <si>
    <t>University of Maine System; University of Maine Orono; University of Salento; University of Naples Federico II; University of Calabria; Stazione Zoologica Anton Dohrn di Napoli; University of Maine System; University of Maine Orono</t>
  </si>
  <si>
    <t>AMER PHYSIOLOGICAL SOC</t>
  </si>
  <si>
    <t>BETHESDA</t>
  </si>
  <si>
    <t>9650 ROCKVILLE PIKE, BETHESDA, MD 20814</t>
  </si>
  <si>
    <t>0363-6119</t>
  </si>
  <si>
    <t>AM J PHYSIOL-REG I</t>
  </si>
  <si>
    <t>Am. J. Physiol.-Regul. Integr. Comp. Physiol.</t>
  </si>
  <si>
    <t>R100</t>
  </si>
  <si>
    <t>R106</t>
  </si>
  <si>
    <t>10.1152/ajpregu.1997.273.1.R100</t>
  </si>
  <si>
    <t>XK680</t>
  </si>
  <si>
    <t>WOS:A1997XK68000013</t>
  </si>
  <si>
    <t>Saether, BE; Lorentsen, SH; Tveraa, T; Andersen, R; Pedersen, HC</t>
  </si>
  <si>
    <t>Size-dependent variation in reproductive success of a long-lived seabird, the Antarctic petrel (Thalassoica antarctica)</t>
  </si>
  <si>
    <t>AGE-SPECIFIC PATTERNS; CALONECTRIS-DIOMEDEA; PARENTAL INVESTMENT; MAGELLANIC PENGUIN; CALIFORNIA GULL; FOOD DELIVERY; STORM-PETRELS; EGG-SIZE; INCUBATION; BIRDS</t>
  </si>
  <si>
    <t>We examined how variation in parental quality influences the reproductive success of a long-lived seabird, the Antarctic Petrel (Thalassoica antarctica). In particular, we focused on how quality of parents can interact with and influence the effects of stochastic variation in the environment due to varying climatic conditions. Large annual variation was found in reproductive success. However, body mass of individual chicks at the end and beginning of the nestling period was strongly correlated in two of the study years, suggesting consistent variation among parents in their ability to feed offspring. Furthermore, chick mass was related both to overall body size and to body mass of their parents. Short brooding-shift intervals also were important for growth and survival of chicks. The probability of chick survival to the age of 30 days (ca. two weeks before fledging) was strongly correlated with chick mass when the chick was left unattended. However, the relative importance of different parental characteristics differed between years. These results show that reproductive success of the Antarctic Petrel is influenced by stochastic variation in the environment, probably related to climatic conditions. Effects of this stochastic variation may depend on body mass and/or body condition of the parents.</t>
  </si>
  <si>
    <t>NORWEGIAN INST NAT RES,N-7005 TRONDHEIM,NORWAY; NORWEGIAN INST NAT RES,N-9005 TROMSO,NORWAY</t>
  </si>
  <si>
    <t>Norwegian Institute Nature Research; Norwegian Institute Nature Research</t>
  </si>
  <si>
    <t>Saether, BE (corresponding author), NORWEGIAN UNIV SCI &amp; TECHNOL,INST ZOOL,N-7034 TRONDHEIM,NORWAY.</t>
  </si>
  <si>
    <t>AMER ORNITHOLOGISTS UNION</t>
  </si>
  <si>
    <t>ORNITHOLOGICAL SOC NORTH AMER PO BOX 1897, LAWRENCE, KS 66044-8897</t>
  </si>
  <si>
    <t>XM886</t>
  </si>
  <si>
    <t>WOS:A1997XM88600003</t>
  </si>
  <si>
    <t>Janes, DN</t>
  </si>
  <si>
    <t>Osmoregulation by Adelie Penguin chicks on the Antarctic Peninsula</t>
  </si>
  <si>
    <t>GULLS; EXCRETION; NITROGEN; KIDNEY; URINE; SALT</t>
  </si>
  <si>
    <t>Physiologists have long contended that consumption of a diet of marine invertebrates imposes a high salt load on animals. I measured water and salt contents in the food, excreta, and body fluids of Adelie Penguin (Pygoscelis adeliae) chicks to determine patterns of osmoregulation in a bird that eats almost exclusively marine invertebrates. Adelie Penguins eat krill (Euphausia spp.) and feed the same to their chicks by regurgitation. Adelie chicks sometimes receive food that is significantly saltier than their body fluids, but on average the food has salt concentrations similar to those in their plasma. Adelie chicks excrete excess solutes via the salt glands, which are fully functional at hatching, and via the kidneys, which produce urine that is more concentrated relative to urine of other bird species, Larger chicks receive food that is drier than that eaten by smaller chicks, and larger chicks may compensate by excreting more of a given salt load via the salt glands, thus conserving water. Regurgitated food has significantly less Na+ than Cl-, but the salt glands secrete equal amounts of these two ions. Consequently, in larger chicks Na+ may be shunted from the urine to be excreted via the salt glands. The loss of this cation in the urine is compensated for by addition of NH4+.</t>
  </si>
  <si>
    <t>Janes, DN (corresponding author), UNIV CALIF RIVERSIDE,DEPT BIOL,RIVERSIDE,CA 92521, USA.</t>
  </si>
  <si>
    <t>10.2307/4089249</t>
  </si>
  <si>
    <t>WOS:A1997XM88600016</t>
  </si>
  <si>
    <t>Smellie, JL; Hole, MJ</t>
  </si>
  <si>
    <t>Products and processes in Pliocene-Recent, subaqueous to emergent volcanism in the Antarctic Peninsula: Examples of englacial Surtseyan volcano construction</t>
  </si>
  <si>
    <t>volcanism; lithofacies; Surtseyan; hyaloclastite; Antarctic; englacial</t>
  </si>
  <si>
    <t>DENSITY TURBIDITY CURRENTS; SEDIMENT GRAVITY FLOWS; ACCRETIONARY LAPILLI; NEW-ZEALAND; VOLCANICLASTIC SEDIMENT; DEPOSITIONAL PROCESSES; PYROCLASTIC DEPOSITS; ERUPTIVE MECHANISMS; GRAIN-SIZE; ICELAND</t>
  </si>
  <si>
    <t>Pliocene-Recent volcanic outcrops at Seal Nunataks and Beethoven Peninsula (Antarctic Peninsula) are remnants of several monogenetic volcanoes formed by eruption of vesiculating basaltic magma into shallow water, in an englacial environment. The diversity of sedimentary and volcanic lithofacies present in the Antarctic Peninsula outcrops provides a clear illustration of the wide range of eruptive, transportational and depositional processes which are associated with englacial Surtseyan volcanism. Early-formed pillow lava and glassy breccia, representing a pillow volcano stage of construction, an draped by tephra erupted explosively during a tuff cone stage. The tephra was resedimented around the volcano flanks, mainly by coarse-grained sediment gravity flows. Fine-grained lithofacies are rare, and fine material probably bypassed the main volcanic edifice, accumulating in the surrounding englacial basin. The pattern of sedimentation records variations in eruption dynamics. Products of continuous-uprush eruptions are thought to be represented by stacks of poorly bedded gravelly sandstone, whereas better bedded, lithologically more diverse sequences accumulated during periods of quiescence or effusive activity. Evidence for volcano flank failure is common. In Seal Nunataks, subaerial lithofacies (mainly lavas and cinder cone deposits) are volumetrically minor and occur at a similar stratigraphical position to pillow lava, suggesting that glacial lake drainage may have occurred prior to or during deposition of the subaerial lithofacies. By contrast, voluminous subaerial effusion in Beethoven Peninsula led to the development of laterally extensive stratified glassy breccias representing progradation of hyaloclastite deltas.</t>
  </si>
  <si>
    <t>UNIV ABERDEEN,KINGS COLL,DEPT GEOL &amp; PETR GEOL,ABERDEEN AB9 2UE,SCOTLAND</t>
  </si>
  <si>
    <t>Smellie, JL (corresponding author), BRITISH ANTARCTIC SURVEY,NERC,MADINGLEY RD,CAMBRIDGE CB3 0ET,ENGLAND.</t>
  </si>
  <si>
    <t>Hole, Malcolm/0000-0002-1622-4266</t>
  </si>
  <si>
    <t>10.1007/s004450050167</t>
  </si>
  <si>
    <t>XM660</t>
  </si>
  <si>
    <t>WOS:A1997XM66000004</t>
  </si>
  <si>
    <t>Zhang, WH</t>
  </si>
  <si>
    <t>Characteristics of major minerals in volcanic ash in ice core from Collins ice cap, King George Island, Antarctic (vol 42, pg 848, 1997)</t>
  </si>
  <si>
    <t>CHINESE SCIENCE BULLETIN</t>
  </si>
  <si>
    <t>1001-6538</t>
  </si>
  <si>
    <t>CHINESE SCI BULL</t>
  </si>
  <si>
    <t>Chin. Sci. Bull.</t>
  </si>
  <si>
    <t>XK844</t>
  </si>
  <si>
    <t>WOS:A1997XK84400024</t>
  </si>
  <si>
    <t>Villalba, R; Cook, ER; DArrigo, RD; Jacoby, GC; Jones, PD; Salinger, MJ; Palmer, J</t>
  </si>
  <si>
    <t>Sea-level pressure variability around Antarctica since AD 1750 inferred from subantarctic tree-ring records</t>
  </si>
  <si>
    <t>SOUTHERN-HEMISPHERE; SURFACE-TEMPERATURE; SPATIAL VARIABILITY; PENINSULA CLIMATE; ISOTOPE RECORD; ANNUAL CYCLE; NEW-ZEALAND; OSCILLATION; ANOMALIES; TRENDS</t>
  </si>
  <si>
    <t>A tree-ring chronology network recently developed from the subantarctic forests provides an opportunity to study long-term climatic variability at higher latitudes in the Southern Hemisphere. Fifty long (1911-1985), homogeneous records of monthly mean sealevel pressure (MSLP) from the southern latitudes (15-65 degrees S) were intercorrelated on a seasonal basis to establish the most consistent, long-term Trans-Polar teleconnections during this century. Variations in summer MSLP between the South America-Antarctic Peninsula and the New Zealand sectors of the Southern Ocean are significantly correlated in a negative sense (r = -0.53, P &lt; 0.001). Climatically sensitive chronologies from Tierra del Fuego (54-55 degrees) and New Zealand (39-47 degrees) were used to develop verifiable reconstructions of summer (November to February) MSLP for both sectors of the Southern Ocean. These reconstructions, which explain between 37 and 43% of the instrumentally recorded pressure variance, indicate that inverse trends in MSLP from diametrically opposite sides of Antarctica have prevailed during the past two centuries. However, the strength of this relationship varies over time. Differences in normalized MSLP between the New Zealand and the South America-Antarctic Peninsula sectors were used to develop a Summer Trans-Polar Index (STPI), which represents an index of sea-level pressure wavenumber one in the Southern Hemisphere higher latitudes. Tree-ring based reconstructions of STPI show significant differences in large-scale atmospheric circulation between the nineteenth and the twentieth centuries. Predominantly-negative STPI values during the nineteenth century are consistent with more cyclonic activity and lower summer temperatures in the New Zealand sector during the 1800s. In contrast, cyclonic activity appears to have been stronger in the mid-twentieth than previously for the South American sector of the Southern Ocean. Recent variations in MSLP in both regions are seen as part of the long-term dynamics of the atmosphere connecting opposite sides of Antarctica. A detailed analysis of the MSLP and STPI reconstructions in the time and frequency domains indicates that much of the interannual variability is principally confined to frequency bands with a period around 3.3-3.6 y. Cross spectral analysis between the STPI reconstruction and the Southern Oscillation Index suggests that teleconnections between the tropical ocean and extra-tropical MSLP variations may be influencing climate fluctuations at southern latitudes.</t>
  </si>
  <si>
    <t>UNIV E ANGLIA, CLIMAT RES UNIT, NORWICH NR4 7TJ, NORFOLK, ENGLAND; NATL INST WATER &amp; ATMOSPHER RES, AUCKLAND, NEW ZEALAND; LINCOLN UNIV, DEPT PLANT SCI, CANTERBURY, NEW ZEALAND; CONSEJO NACL INVEST CIENT &amp; TECN, IANIGLA, DEPT DENDROCRONOL &amp; HIST AMBIENTOL, RA-5500 MENA, ARGENTINA</t>
  </si>
  <si>
    <t>University of East Anglia; National Institute of Water &amp; Atmospheric Research (NIWA) - New Zealand; Lincoln University - New Zealand; University Nacional Cuyo Mendoza; Consejo Nacional de Investigaciones Cientificas y Tecnicas (CONICET)</t>
  </si>
  <si>
    <t>Villalba, R (corresponding author), COLUMBIA UNIV, LAMONT DOHERTY EARTH OBSERV, TREE RING LAB, PALISADES, NY 10964 USA.</t>
  </si>
  <si>
    <t>Jones, Philip Douglas/C-8718-2009; Palmer, Jonathan/J-7834-2012</t>
  </si>
  <si>
    <t>Jones, Philip Douglas/0000-0001-5032-5493; Palmer, Jonathan/0000-0002-6665-4483; Villalba, Ricardo/0000-0001-8183-0310</t>
  </si>
  <si>
    <t>1432-0894</t>
  </si>
  <si>
    <t>10.1007/s003820050172</t>
  </si>
  <si>
    <t>XN828</t>
  </si>
  <si>
    <t>WOS:A1997XN82800001</t>
  </si>
  <si>
    <t>Power, SB; Hirst, AC</t>
  </si>
  <si>
    <t>Eddy parametrization and the oceanic response to idealized global warming</t>
  </si>
  <si>
    <t>GENERAL-CIRCULATION MODEL; TRANSIENT CLIMATE RESPONSE; ATMOSPHERIC CARBON-DIOXIDE; NORTH-ATLANTIC; MIXING PARAMETERIZATION; BOUNDARY-CONDITIONS; TRACER TRANSPORTS; CO2 EXPERIMENT; WORLD OCEAN; TEMPERATURE</t>
  </si>
  <si>
    <t>A coarse-grid global ocean general circulation model (OGCM) is used to determine the role of sub-grid scale eddy parametrization schemes in the response to idealized changes in the surface heat flux, of the same order as expected under increased atmospheric CO2 concentrations. Two schemes are employed. The first (H) incorporates standard horizontal mixing, whereas the second (G) combines both enhanced isopycnal mixing and eddy-induced transport. Uniform surface heating anomalies of + 2Wm(-2) and - 2Wm(-2) are applied for 50 years, and the results are compared with a control experiment in which no anomalous heating is imposed. A passive ''heat'' tracer is applied uniformly (at a rate of 2Wm(-2) for 50 years) in a separate experiment. The sea-surface temperature response to global surface heating is generally larger in G, especially in the northern subtropical gyres, along the southern coast of Australia and off the Antarctic coast. A pronounced interhemispheric asymmetry (primarily arising from an anomalous response south of 35 degrees S) is evident in both H and G. The surface trapping of passive tracers in the Southern Hemisphere is generally greater in G than it is in H, and is particularly pronounced along the prime meridian (0 degrees E). Dynamical changes (i.e., changes in horizontal and vertical currents, convection, and preferred mixing: and eddy transport pathways) enhance surface warming in the tropics and subtropics in both G and H. They are dominated by an anomalous meridional overturning centred on the equator, which may also operate in greenhouse warming experiments using coupled atmosphere-ocean GCMs. Over the Southern Ocean the passive tracer experiments and associated ventilation rates suggest that surface warming will be greater in G than in H. In fact, the contrast between the dynamical responses evident in G and H in the actual heating experiments leads to a situation in which the reverse is often true. Overall, dynamical changes enhance the interhemispheric assymetry, more so in G than in H.</t>
  </si>
  <si>
    <t>CSIR,DIV ATMOSPHER RES,ASPENDALE,VIC,AUSTRALIA</t>
  </si>
  <si>
    <t>Power, SB (corresponding author), BUR METEOROL RES CTR,MELBOURNE,VIC,AUSTRALIA.</t>
  </si>
  <si>
    <t>Hirst, Anthony/N-1041-2014; Hirst, Anthony/E-2756-2013; Power, Scott Brendan/AAF-3370-2019</t>
  </si>
  <si>
    <t>Power, Scott Brendan/0000-0002-9596-4368</t>
  </si>
  <si>
    <t>10.1007/s003820050174</t>
  </si>
  <si>
    <t>WOS:A1997XN82800003</t>
  </si>
  <si>
    <t>Buckley, BM; Cook, ER; Peterson, MJ; Barbetti, M</t>
  </si>
  <si>
    <t>A changing temperature response with elevation for Lagarostrobos franklinii in Tasmania, Australia</t>
  </si>
  <si>
    <t>VEGETATION; CLIMATE</t>
  </si>
  <si>
    <t>A network of seven Huon pine ring-width chronologies is constructed from sites ranging in elevation from 200 to 950 metres above sea level in western Tasmania. The chronologies are analysed individually and collectively to explore Huon pine's response to climate as a function of elevation. Three chronologies from greater than 700 metres in elevation exhibit a strong, direct response to temperature for most growing season months (p &lt; 0.05), while three from below 700 metres exhibit a weaker, direct response to growing-season temperature, and a strong, inverse relationship with temperature of the prior season of growth, also significant at the 0.05 level. Moisture availability at these temperate rainforest sites is less growth-limiting than temperature, and significant correlations for January (inverse) and April (direct) of the year of growth largely reflect the inter-relationships between temperature, precipitation and cloudiness, and their combined influence on photosynthesis, particularly at higher-elevation sites. A rotated Principal Component Analysis reveals a clear grouping of the high and low-elevation chronologies, represented by the first and second eigenvectors, respectively. The 700 metre Lake Marilyn Low chronology is revealed to be a transitional site between the two groupings, and likely reflects an important climatic ecotone where both temperature and photosynthetically-active radiation drop below optimum levels for the species, and begin to directly inhibit growth. Tasmania's west coast climate has been shown to exhibit a distinct vertical structure, exemplified by a subsidence-inversion layer above 900 metres. Temperature increases slightly with altitude above 930 metres (the elevation at which a peak in daily minimum and maximum humidity levels is observed) before decreasing again. A dense, orographically-generated cloud-zone of reduced light and temperature has a mean altitude between 700 and 900 metres, with the steepest drop in both air and soil temperature exhibited between 850 and 930 metres. This structure can account for Huon pine's changing response to climate with elevation as described in this paper, and reinforces the importance of careful site selection for dendroclimatic research. In the case of reconstructing warm-season temperature from Tasmanian Huon pine, the desired signal might be maximised through sampling at the few rare, subalpine stands which have been located in western Tasmania. The great length afforded by the low-elevation Huon pine resource may ultimately yield a far more detailed reconstruction of regional climate throughout the Holocene, with respect to a vertical profile, following the development of more sound, mechanistically-based response models.</t>
  </si>
  <si>
    <t>COLUMBIA UNIV,LAMONT DOHERTY EARTH OBSERV,TREE RING LAB,PALISADES,NY 10964; UNIV TASMANIA,DEPT PLANT SCI,HOBART,TAS 7001,AUSTRALIA; UNIV SYDNEY,NWG MACINTOSH CTR QUATERNARY DATING,SYDNEY,NSW 2006,AUSTRALIA</t>
  </si>
  <si>
    <t>Columbia University; University of Tasmania; University of Sydney</t>
  </si>
  <si>
    <t>Buckley, BM (corresponding author), UNIV TASMANIA,INST ANTARCTIC &amp; SO OCEAN STUDIES,GPO BOX 252-77,HOBART,TAS 7001,AUSTRALIA.</t>
  </si>
  <si>
    <t>Buckley, Brendan/0000-0003-1544-8003</t>
  </si>
  <si>
    <t>JUL-AUG</t>
  </si>
  <si>
    <t>10.1023/A:1005322332230</t>
  </si>
  <si>
    <t>XR067</t>
  </si>
  <si>
    <t>WOS:A1997XR06700013</t>
  </si>
  <si>
    <t>Rintoul, SR; Donguy, JR; Roemmich, DH</t>
  </si>
  <si>
    <t>Seasonal evolution of upper ocean thermal structure between Tasmania and Antarctica</t>
  </si>
  <si>
    <t>FRONTS</t>
  </si>
  <si>
    <t>We describe the upper ocean thermal structure between Tasmania and Antarctica based on thirteen repeat temperature sections occupied between 1991 and 1994. The sections cross three main fronts. The subtropical front is found between Tasmania and the South Tasman Rise in each of the sections. The subantarctic front (SAF) is composed of two parts, which have distinct thermohaline signatures and behave somewhat independently: the northern part, associated with the 6-8 degrees C isotherms, is characterised by large meridional gradients of both temperature and salinity; the southern part is associated with a weaker meridional temperature gradient and negligible salinity gradient between the 3 degrees and 5 degrees C isotherms. The northern part of the SAF is located between 50 degrees S and 51 degrees S in each of the sections, but the position of the southern part of the SAF is more variable with time. A cold core eddy or meander is found north of the SAF throughout the 1993-1994 austral summer. The polar front (PF) is found near 53 degrees S in all sections. Dynamic height is estimated for each of the XBT sections by exploiting the tight correlation in this region between vertically-integrated temperature and dynamic height. Dynamic height decreases relatively smoothly with latitude between 50 degrees S and 53 degrees S, so that the SAF, PF and the water between the two fronts forms a broad belt of eastward flow relative to a deeper level. The difference in dynamic height at the sea surface relative to 2000 m is 1.03 dyn m between 47 degrees S and 60 degrees S and is constant through the 1993-1994 austral summer to within the accuracy of the method (rms error approximate to 0.07 dyn m). The dynamic height expression of the cold core eddy reaches a maximum of 0.23 dyn m in February 1994. The upper 100 m of the water column warms by about 1.6 degrees C between December and March south of 54 degrees S, corresponding to an average warming rate of 95 W m(-2). Changes in heat content at other latitudes are dominated by meridional shifts of the fronts, and no clear seasonal trend can be identified. (C) 1997 Elsevier Science Ltd.</t>
  </si>
  <si>
    <t>CSIRO, ORSTOM, CTR BREST, F-29280 PLOUZANE, FRANCE; UNIV CALIF SAN DIEGO, SCRIPPS INST OCEANOG, LA JOLLA, CA 92093 USA</t>
  </si>
  <si>
    <t>Institut de Recherche pour le Developpement (IRD); Commonwealth Scientific &amp; Industrial Research Organisation (CSIRO); University of California System; University of California San Diego; Scripps Institution of Oceanography</t>
  </si>
  <si>
    <t>Rintoul, SR (corresponding author), ANTARCTIC COOPERAT RES CTR, GPO BOX 252C, HOBART, TAS 7001, AUSTRALIA.</t>
  </si>
  <si>
    <t>Rintoul, Stephen R/A-1471-2012</t>
  </si>
  <si>
    <t>Rintoul, Stephen R/0000-0002-7055-9876</t>
  </si>
  <si>
    <t>10.1016/S0967-0637(96)00125-2</t>
  </si>
  <si>
    <t>XW548</t>
  </si>
  <si>
    <t>WOS:A1997XW54800006</t>
  </si>
  <si>
    <t>Sedwick, PN; Edwards, PR; Mackey, DJ; Griffiths, FB; Parslow, JS</t>
  </si>
  <si>
    <t>Iron and manganese in surface waters of the Australian subantarctic region</t>
  </si>
  <si>
    <t>EQUATORIAL PACIFIC-OCEAN; SOUTHERN-OCEAN; MARINE-PHYTOPLANKTON; EXPORT PRODUCTION; NORTH PACIFIC; TRACE-METALS; SCOTIA SEAS; LIMITATION; SEAWATER; GROWTH</t>
  </si>
  <si>
    <t>Iron and manganese concentrations were measured in seawater from the upper water column (less than or equal to 350 m water depth) in the subantarctic region to the south and west of Tasmania, Australia, during January 1995. Dissolved and total-dissolvable Fe and dissolved Mn were determined in samples from four stations along 140 degrees E ranging from polar to subtropical waters, and from one station over the continental slope off north-west Tasmania. Dissolved Fe concentrations were generally low (&lt;1 nM) for all stations, ranging from minimum concentrations between 0.1 and 0.2 nM at the southernmost stations to maximum values near 0.8 nM in subtropical waters and over the continental slope. Total-dissolvable Fe concentrations ranged from 0.17 to 1.3 nM, and were more than twice the dissolved Fe concentrations in some samples, implying a significant proportion of particulate Fe in the water column. Dissolved Mn concentrations were generally low (&lt;0.5 nM) along the 140 degrees E transect, with lowest values of around 0.1 nM measured at the southernmost stations, and much higher concentrations (&gt; 2 nM) observed in shallower waters over the continental slope. Vertical concentration profiles suggest biological removal of dissolved Fe from the photic zone at the deep-ocean stations, except in the subantarctic front. The higher mixed-layer concentrations of Fe and Mn observed over the continental slope and in the deep ocean at 40 degrees S are thought to reflect inputs from the continental shelves or atmospheric deposition. Water-column Fe and Mn profiles from 45 degrees S, 50 degrees S and 53 degrees S show no evidence for significant inputs of these metals via atmospheric deposition or upwelling of metal-rich deep waters, although there was evidence of shelf-derived particulate Fe at 45 degrees S. The low concentrations of dissolved Fe measured at 45 degrees S, 50 degrees S and 53 degrees S indicate that iron deficiency could limit summertime primary production in these high-nitrate low-chlorophyll waters. (C) 1997 Elsevier Science Ltd.</t>
  </si>
  <si>
    <t>CSIRO, DIV MARINE RES, HOBART, TAS 7001, AUSTRALIA</t>
  </si>
  <si>
    <t>Sedwick, PN (corresponding author), ANTARCTIC CRC, GPO BOX 25280, HOBART, TAS 7001, AUSTRALIA.</t>
  </si>
  <si>
    <t>Edwards, Ross/B-1433-2013</t>
  </si>
  <si>
    <t>Edwards, Ross/0000-0002-9233-8775; Sedwick, Peter/0000-0003-0663-8323</t>
  </si>
  <si>
    <t>10.1016/S0967-0637(97)00021-6</t>
  </si>
  <si>
    <t>WOS:A1997XW54800008</t>
  </si>
  <si>
    <t>Bert, D; Leavitt, SW; Dupouey, JL</t>
  </si>
  <si>
    <t>Variations of wood delta C-13 and water-use efficiency of Abies alba during the last century</t>
  </si>
  <si>
    <t>ECOLOGY</t>
  </si>
  <si>
    <t>Abies alba; C-13/C-12 ratio; CO2 fertilization; dendrochronology; isotopic discrimination; long-term trend; radial growth; stable-carbon isotopes; tree rings; water-use efficiency</t>
  </si>
  <si>
    <t>ATMOSPHERIC CARBON-DIOXIDE; PAST 2 CENTURIES; POLAR ICE CORES; TREE-RINGS; ISOTOPE DISCRIMINATION; C-13/C-12 RATIOS; ANTARCTIC ICE; DOUGLAS-FIR; CO2; FOREST</t>
  </si>
  <si>
    <t>Variations of intrinsic water-use efficiency during the last century were investigated based on analysis of delta(13)C in tree rings of Abies alba from the Jura Mountains (eastern France). To separate the effects related to the age of the tree at the time the tree ring was formed from effects due to environmental changes, analyzed wood samples were extracted from a very large sample set including different tree ages and calendar dates of wood formation. For the first 75 yr of the life of Abies alba, delta(13)C of wood holocellulose increases with the age of the tree from -24.4 parts per thousand at age 15 to approximately -22.5 parts per thousand at age 75. Between the ages of 75 and 150 values remain constant at -22.5 parts per thousand. Consequently, the effect of the tree age on isotopic discrimination has to be taken into account in studies on the long-term environmental effects on delta(13)C in tree rings. Divergent trends of delta(13)C during the last century were observed between tree rings formed at age 40 and bulk air data. The isotopic discrimination Delta varied insignificantly around a mean of 17.3 parts per thousand between the 1860s and the 1930s. It then decreased to 15.8 parts per thousand from the 1930s to the 1980s. Using these results and classical models of carbon discrimination, we calculated that the intrinsic water-use efficiency (A/g(w), the ratio of CO2 assimilation rate to stomatal conductance for water vapor), integrated over the year, has increased by 30% between the 1930s and the 1980s. These results, obtained at the level of mature trees, are consistent with the physiological effects of increasing CO2 concentrations as observed in controlled experiments on young seedlings. They are consistent with the strong increases in radial growth observed for Abies alba in western Europe over the past decades. However, other long-term environmental changes such as increasing nitrogen deposition could cause similar effects.</t>
  </si>
  <si>
    <t>INRA, ECOPHYSIOL UNIT, F-54280 CHAMPENOUX, FRANCE; UNIV ARIZONA, TREE RING RES LAB, TUCSON, AZ 85721 USA</t>
  </si>
  <si>
    <t>INRAE; University of Arizona</t>
  </si>
  <si>
    <t>Leavitt, Steven/ABI-5874-2020; Dupouey, Jean-Luc/AAF-5511-2020; Leavitt, Steven/W-2257-2019</t>
  </si>
  <si>
    <t>Dupouey, Jean-Luc/0000-0002-7396-8691;</t>
  </si>
  <si>
    <t>1990 M STREET NW, STE 700, WASHINGTON, DC 20036 USA</t>
  </si>
  <si>
    <t>0012-9658</t>
  </si>
  <si>
    <t>1939-9170</t>
  </si>
  <si>
    <t>XK929</t>
  </si>
  <si>
    <t>WOS:A1997XK92900028</t>
  </si>
  <si>
    <t>Cripps, GC; Shears, J</t>
  </si>
  <si>
    <t>The fate in the marine environment of a minor diesel fuel spill from an Antarctic research station</t>
  </si>
  <si>
    <t>ENVIRONMENTAL MONITORING AND ASSESSMENT</t>
  </si>
  <si>
    <t>Antarctica; diesel spill; hydrocarbon contamination; limpets; research station; seawater</t>
  </si>
  <si>
    <t>HYDROCARBON CONTAMINATION; PENINSULA</t>
  </si>
  <si>
    <t>Monitoring was undertaken of the fate in the marine environment of an accidental spill of diesel fuel (1000 litres) from Faraday Research Station, Galindez Island, Antarctica in March 1992. On the day after the incident concentrations in seawater reached a maximum of 540 mu g l(-1) for n-alkanes and 222 mu g l(-1) for polycyclic aromatic hydrocarbons (PAH). However, concentrations returned to local background levels within one week. The fuel had an immediate toxic effect on intertidal limpets in the local station area, and 100 animals were found dead the day after the spill. Surviving animals had elevated concentrations of both n-alkanes and PAH for over a month after the spill, reaching a maximum of 9960 mu g kg(-1) for n-alkanes and 90 mu g kg(-1) for PAH 30 days after the spill occurred. This was the result of accumulation from a residue of the diesel being flushed by rainwater into the littoral zone. Seven months after the spill concentrations of both n-alkanes and PAH in limpets living close to the station were still an order of magnitude greater than those found in animals at an uncontaminated control site. This is because limpets living in the littoral zone were continually exposed to chronic but low-level hydrocarbon contamination from station activities. The diesel spill itself had a very minor, localised and short-term impact on the Antarctic marine environment.</t>
  </si>
  <si>
    <t>Cripps, GC (corresponding author), BRITISH ANTARCTIC SURVEY,NERC,HIGH CROSS,MADINGLEY RD,CAMBRIDGE CB3 0ET,ENGLAND.</t>
  </si>
  <si>
    <t>0167-6369</t>
  </si>
  <si>
    <t>ENVIRON MONIT ASSESS</t>
  </si>
  <si>
    <t>Environ. Monit. Assess.</t>
  </si>
  <si>
    <t>10.1023/A:1005766302869</t>
  </si>
  <si>
    <t>XH653</t>
  </si>
  <si>
    <t>WOS:A1997XH65300003</t>
  </si>
  <si>
    <t>Grey, J; LaybournParry, J; Leakey, RJG; McMinn, A</t>
  </si>
  <si>
    <t>Temporal patterns of protozooplankton abundance and their food in Ellis fjord, Princess Elizabeth Land, eastern Antarctica</t>
  </si>
  <si>
    <t>ESTUARINE COASTAL AND SHELF SCIENCE</t>
  </si>
  <si>
    <t>Antarctic; bacterioplankton; ciliates; dinoflagellates; fjord; protozooplankton</t>
  </si>
  <si>
    <t>TERRA-NOVA BAY; ANNUAL CYCLE; GRAZING RATES; HETEROTROPHIC DINOFLAGELLATE; SPECIES COMPOSITION; SOUTHAMPTON WATER; SPECIAL EMPHASIS; COASTAL WATERS; SEA ANTARCTICA; MAINE ESTUARY</t>
  </si>
  <si>
    <t>The abundance and biomass of ciliates, dinoflagellates and heterotrophic and phototrophic nanoflagellates were determined at three sites along an ice-covered Antarctic fjord between January and November 1993. The water column showed little in the way of temperature and salinity gradients during the study period. In general, the protozooplankton exhibited a seasonal variation which closely mirrored that of chlorophyll a and bacterioplankton. The fjord mouth, which was affected by the greatest marine influences, consistently had the highest densities of ciliates and the most diverse community, with up to 18 species during the sampling period. Small aloricate ciliates were present throughout the year with Strobilidium spp. being dominant during the winter. Larger loricate and aloricate ciliates became more prominent during January and November, along with the autotrophic ciliate Mesodinium rubrum and two mixotrophic species (Strombidium wulffi and a type resembling Tontonia) suggesting evidence of species successions. Data on dinoflagellates were less extensive, but these protists showed greatest species diversity in the middle reaches of the fjord. A total of 13 species of dinoflagellate was recorded. Ciliates made a significant contribution to the biomass of the microbial community in summer, particularly in the middle and at the seaward end of the fjord. In winter, heterotrophic flagellates (HNAN) and phototrophic nanoflagellates (PNAN) were the dominant component of protistan biomass. In terms of percentage contribution to the microbial carbon pool, bacteria dominated during winter and spring. To the authors' knowledge, this is the first seasonal study of an Antarctic fjord. The Ellis Fjord is very unproductive compared to lower latitude systems, and supports low biomass of phytoplankton and microbial plankton during most of the year. This relates to severe climatic and seasonal conditions, and the lack of allochthonous carbon inputs to the system. Thus, high latitude estuaries may differ significantly from lower latitude systems, which generally rank among the most productive aquatic systems in the world. (C) 1997 Academic Press Limited.</t>
  </si>
  <si>
    <t>LA TROBE UNIV,SCH ZOOL,BUNDOORA,VIC 3083,AUSTRALIA; BRITISH ANTARCTIC SURVEY,CAMBRIDGE CB3 0ET,ENGLAND; UNIV TASMANIA,INST ANTARCTIC &amp; SO OCEAN STUDIES,HOBART,TAS 7001,AUSTRALIA</t>
  </si>
  <si>
    <t>La Trobe University; UK Research &amp; Innovation (UKRI); Natural Environment Research Council (NERC); NERC British Antarctic Survey; University of Tasmania</t>
  </si>
  <si>
    <t>Grey, J (corresponding author), UNIV LANCASTER,INST ENVIRONM &amp; BIOL SCI,LANCASTER LA1 4YQ,ENGLAND.</t>
  </si>
  <si>
    <t>Grey, Jonathan/B-3346-2012; McMinn, Andrew/A-9910-2008</t>
  </si>
  <si>
    <t>Grey, Jonathan/0000-0001-9069-2271</t>
  </si>
  <si>
    <t>0272-7714</t>
  </si>
  <si>
    <t>ESTUAR COAST SHELF S</t>
  </si>
  <si>
    <t>Estuar. Coast. Shelf Sci.</t>
  </si>
  <si>
    <t>10.1006/ecss.1996.0166</t>
  </si>
  <si>
    <t>XL580</t>
  </si>
  <si>
    <t>WOS:A1997XL58000002</t>
  </si>
  <si>
    <t>Novarino, G; Warren, A; Butler, H; Lambourne, G; Boxshall, A; Bateman, J; Kinner, NE; Harvey, RW; Mosse, RA; Teltsch, B</t>
  </si>
  <si>
    <t>Protistan communities in aquifers: a review</t>
  </si>
  <si>
    <t>FEMS MICROBIOLOGY REVIEWS</t>
  </si>
  <si>
    <t>Symposium on Subsurface Microbiology</t>
  </si>
  <si>
    <t>SEP 15-21, 1996</t>
  </si>
  <si>
    <t>DAVOS, SWITZERLAND</t>
  </si>
  <si>
    <t>amoeba; aquifer; ecology; flagellate; groundwater; protist; protozoa; subsurface</t>
  </si>
  <si>
    <t>SOIL CILIATES PROTOZOA; NOV-SPEC CILIOPHORA; ANTARCTIC SEA-ICE; SUBSURFACE SEDIMENTS; CLASSIFICATION-SYSTEM; CONTAMINATED AQUIFER; MICROBIAL ECOLOGY; WATER-COLUMN; NAKED AMEBAS; CAPE-COD</t>
  </si>
  <si>
    <t>Eukaryotic microorganisms (protists) are a very important component of microbial communities inhabiting groundwater aquifers. This is not unexpected when one considers that many protists feed heterotrophically,,by means of either phagotrophy (bacterivory) or osmotrophy. Protistan numbers are usually low (&lt;10(2) per g dw of aquifer material) in pristine, uncontaminated aquifers but may increase by several orders of magnitude in aquifers subject to organic pollution. small flagellates (typically 2-3(5) mu n in size in situ) are by far the dominant protists in aquifers, although amoebae and occasionally ciliates may also be present in much lower numbers. Although a wealth of new taxonomic information is waiting to be brought to light, interest in the identity of aquifer protists is not exclusively academic. If verified, the following hypotheses may prove to be important towards our understanding of the functioning of microbial communities in aquifers: (1) Differences in swimming behavior between species of flagellates lead to feeding heterogeneity and niche differentiation, implying that bacterivorous flagellates graze on different subsets of the bacterial community, and therefore play different roles in controlling bacterial densities. (2) Bacterivorous flagellates grazing on bacteria capable of degrading organic compounds have an indirect effect on the overall rates of biodegradation.</t>
  </si>
  <si>
    <t>UNIV MARINE BIOL STN, MILLPORT, ISLE CUMBRAE, SCOTLAND; UNIV NEW HAMPSHIRE, DEPT CIVIL ENGN, ENVIRONM RES GRP, DURHAM, NH 03824 USA; US GEOL SURVEY, DIV WATER RESOURCES, BOULDER, CO USA; MEKOROT WATER CO LTD, NAZARETH, ISRAEL</t>
  </si>
  <si>
    <t>University System Of New Hampshire; University of New Hampshire; United States Department of the Interior; United States Geological Survey</t>
  </si>
  <si>
    <t>Novarino, G (corresponding author), NAT HIST MUSEUM, DEPT ZOOL, CROMWELL RD, LONDON SW7 5BD, ENGLAND.</t>
  </si>
  <si>
    <t>Harvey, Ronald/C-5783-2013</t>
  </si>
  <si>
    <t>Harvey, Ronald/0000-0002-2791-8503</t>
  </si>
  <si>
    <t>0168-6445</t>
  </si>
  <si>
    <t>FEMS MICROBIOL REV</t>
  </si>
  <si>
    <t>Fems Microbiol. Rev.</t>
  </si>
  <si>
    <t>10.1016/S0168-6445(97)00046-6</t>
  </si>
  <si>
    <t>XV020</t>
  </si>
  <si>
    <t>WOS:A1997XV02000008</t>
  </si>
  <si>
    <t>Brightman, RI; Torres, JJ; Donnelly, J; Clarke, ME</t>
  </si>
  <si>
    <t>Energetics of larval red drum, Sciaenops ocellatus .2. Growth and biochemical indicators</t>
  </si>
  <si>
    <t>FISHERY BULLETIN</t>
  </si>
  <si>
    <t>ANTARCTIC MESOPELAGIC FISHES; RNA-DNA RATIOS; PROXIMATE COMPOSITION; TEMPERATURE; SURVIVAL; AMERICANUS; STARVATION; METABOLISM; EGGS; SEA</t>
  </si>
  <si>
    <t>The effects of ration level and temperature on growth were determined for larval red drum, Sciaenops ocellatus, during its first two weeks of life. Larvae were raised in the laboratory at 20 degrees C at a ration level of 5.0 prey/mL, at 25 degrees C at ration levels of 0, 0.1, 1.0, and 5.0 prey/mL, and in growout ponds at 25 degrees C and 32 degrees C and at ration levels of 4-6 prey/mL. Growth was measured as standard length, wet mass, and dry mass. Proximate (water, ash, protein, and lipid) and elemental(C, N) composition was determined at larval ages of 0, 2, 4, 6, 10, and 14 d to provide caloric values for the growing larvae and to examine the relative importance of protein and lipid during tissue deposition in the very early life history of these larvae. Biochemical indicators of growth, RNA-DNA ratio, and activity of the metabolic enzyme lactate dehydrogenase (LDH) were examined in larvae reared at all temperature and ration combinations. The effectiveness of the biochemical indicators as proxies for growth was assessed by comparing the directly measured growth rates with RNA:DNA levels and LDH activity. Larvae fed a ration of 1.0 prey/mL or less did not survive past the age of eight days. Growth rate increased with increasing temperature, reaching a maximum of 60% body mass/d in growout ponds at 32 degrees C. Protein level (percent ash free dry mass: %AFDM) increased with increasing age in all treatments where individuals exhibited positive growth, whereas lipid (%AFDM) showed a concomitant decline. Nitrogen (%AFDM) and carbon (%AFDM) varied directly with protein and lipid contents, respectively. Biochemical indicators of growth showed a significant correlation with growth rate. However, the character of the correlation changed with temperature. RNA-DNA ratios and enzymic activities were lower at higher temperatures for equivalent growth rates. Introduction of a temperature term into multiple regression equations improved the relation between growth and the biochemical proxies. LDH activity scaled with the size of larvae, whereas RNA:DNA showed no significant relation with size.</t>
  </si>
  <si>
    <t>UNIV MIAMI,ROSENSTIEL SCH MARINE &amp; ATMOSPHER SCI,DIV MARINE BIOL &amp; FISHERIES,MIAMI,FL 33149</t>
  </si>
  <si>
    <t>University of Miami</t>
  </si>
  <si>
    <t>Brightman, RI (corresponding author), UNIV S FLORIDA,DEPT MARINE SCI,140 7TH AVE S,ST PETERSBURG,FL 33701, USA.</t>
  </si>
  <si>
    <t>NATL MARINE FISHERIES SERVICE SCIENTIFIC PUBL OFFICE</t>
  </si>
  <si>
    <t>SEATTLE</t>
  </si>
  <si>
    <t>7600 SAND POINT WAY NE BIN C15700, SEATTLE, WA 98115</t>
  </si>
  <si>
    <t>0090-0656</t>
  </si>
  <si>
    <t>FISH B-NOAA</t>
  </si>
  <si>
    <t>Fish. Bull.</t>
  </si>
  <si>
    <t>XH003</t>
  </si>
  <si>
    <t>WOS:A1997XH00300003</t>
  </si>
  <si>
    <t>Eugster, O; Weigel, A; Polnau, E</t>
  </si>
  <si>
    <t>Ejection times of Martian meteorites</t>
  </si>
  <si>
    <t>LIGHT NOBLE-GASES; SNC METEORITES; ORTHOPYROXENITE ALH84001; ANTARCTIC SHERGOTTITE; PARENT BODY; LEW 88516; ORIGIN; LEW88516; MARS; ALHA77005</t>
  </si>
  <si>
    <t>Noble gas isotopic analyses were made for four meteorites whose origin is Mars: basaltic shergottites Queen Alexandra Range 94201, Zagami, the lherzolite LEW88516, and orthopyroxenite Allan Hills 84001. The latter one was separated into orthopyroxene, chromite, and maskelynite fractions. Ejection times were calculated for all Martian meteorites using cosmic ray exposure ages based on He-3, Ne-21, and Ar-38 concentrations and literature data on the terrestrial ages. We discuss the arguments for a scenario in which they were ejected from Mars by asteroidal or cometary impact as small meteoroids and were delivered to Earth within and up to 15 million years. The basaltic shergottites QUE94201, Shergotty, and Zagami show an ejection age cluster at 2.76 Ma, the fourth basaltic shergottite EET79001 being younger (0.82 Ma). Lherzolites LEW88516 and ALH77005 were ejected by a later event 3.84 Ma ago. All nakhlites, Nakhla, Governador Valadares, and Lafayette, originate from an event 11.0 Ma ago. Although Chassigny is chemically distinct from the nakhlites, its ejection age is 11.6 Ma. Whether this is a separate event cannot be decided from the available data. Finally, orthopyroxenite ALH84001 was launched from Mars 14.3 Ma ago. The distribution of the delivery times for Martian meteorites to Earth reflect individual impact events onto five or six different source terrains. This result is significant in the context of a comprehensive knowledge of the Martian crust composition. Finally, we derived the K-Ar-40 gas retention age of ALH84001 mineral fractions adopting two different models: Assuming a component of Martian atmospheric Ar with Ar-40/Ar-36 = 1790 trapped by this meteorite we obtained an age of 3390 Ma. On the other hand, assuming no contribution of Martian atmospheric Ar, the resulting K-Ar-40 age is about 4100 Ma, that is, roughly 500 Ma younger than the reported Sm-Nd crystallization age. Copyright (C) 1997 Elsevier Science Ltd.</t>
  </si>
  <si>
    <t>Eugster, O (corresponding author), UNIV BERN,INST PHYS,SIDLERSTR 5,CH-3012 BERN,SWITZERLAND.</t>
  </si>
  <si>
    <t>Polnau, Ernst/0000-0002-0979-8712</t>
  </si>
  <si>
    <t>10.1016/S0016-7037(97)00115-4</t>
  </si>
  <si>
    <t>XN637</t>
  </si>
  <si>
    <t>WOS:A1997XN63700017</t>
  </si>
  <si>
    <t>McCarron, JJ; Millar, IL</t>
  </si>
  <si>
    <t>The age and stratigraphy of fore-arc magmatism on Alexander Island, Antarctica</t>
  </si>
  <si>
    <t>PENINSULA; CALDERAS; HISTORY; PACIFIC; ZIRCON; PB; GEOCHRONOLOGY; REMNANTS; PLATE; MODEL</t>
  </si>
  <si>
    <t>Fore-arc magmatic sequences associated with high Mg number andesite lavas unconformably overlie LeMay Group accretionary complex in Alexander Island. High-resolution 40Ar/39Ar, U-Pb zircon, fission track and K-Ar ages demonstrate that subduction-related fore-are magmatism migrated northwards along the length of Alexander Island between c. 80 Ma and c. 46 Ma. The magmatic rocks represent a third of the western margin of the Antarctic Peninsula magmatic are and are critical to the understanding of the final phase of subduction along the southern Antarctic Peninsula margin. The onset of late Cretaceous magmatism is recorded by poorly exposed volcanic rocks on Monteverdi Peninsula (79.7 +/- 2.5 Ma). In central and northern Alexander Island, the magmatic rocks can be distinguished by the proportion, range and types of lithofacies present, and by the periods of magmatism represented. The volcanic rocks of the Colbert Mountains range in age from c. 69-62 Ma and are dominated by large volume dacitic and rhyolitic crystal rich ignimbrites interpreted as caldera-fill deposits. Elgar Uplands sequences range in age from c. 55-50 Ma, and contain approximately equal proportions of pyroclastic deposits and less evolved (basaltic-andesite and andesite) lavas including high Mg number andesite lavas near the base of three sequences. The volcanic rocks of Finlandia Foothills probably represent the youngest calc-alkaline units on Alexander Island (48 +/- 2 Ma). The sequence is lithologically similar to the Elgar Uplands and also contains high Mg number andesite lavas, but it is dominated by polymict conglomerates, with minor lavas, which were deposited in a graben associated with regional extension. Plutonic rocks exposed in the Rouen Mountains, adjacent to the Elgar Uplands, yielded a U-Pb age of 56 +/- 3 Ma which is in discordance with a previously published Rb-Sr age (46 +/- 3 Ma), probably due to hydrothermal perturbation of the Rb-Sr system. Northwards migration of magmatism was caused by the progressive collision and subduction of three ridge segments prior to the previously reported ridge crest-trench collisions that occurred c. 20-30 Ma later and following which subduction ceased.</t>
  </si>
  <si>
    <t>BRITISH ANTARCTIC SURVEY, NAT ENVIRONM RES COUNCIL, CAMBRIDGE CB3 0ET, ENGLAND; BRITISH GEOL SURVEY, NERC ISOTOPE GEOSCI LAB, NOTTINGHAM NG12 5GG, ENGLAND</t>
  </si>
  <si>
    <t>1469-5081</t>
  </si>
  <si>
    <t>10.1017/S0016756897007437</t>
  </si>
  <si>
    <t>XR920</t>
  </si>
  <si>
    <t>WOS:A1997XR92000005</t>
  </si>
  <si>
    <t>Stroeven, AP; Prentice, ML</t>
  </si>
  <si>
    <t>A case for Sirius Group Alpine glaciation at Mount Fleming, South Victoria Land, Antarctica: A case against Pliocene East Antarctic Ice Sheet reduction</t>
  </si>
  <si>
    <t>DRY VALLEYS SECTOR; TRANSANTARCTIC-MOUNTAINS; PLEISTOCENE UPLIFT; KEY PARAMETER; DEPOSITS; RECONSTRUCTIONS; PROVENANCE; HISTORY; SHAPE; BE-10</t>
  </si>
  <si>
    <t>The Sirius Group comprises a suite of consolidated glacial deposits that are widespread in the Transantarctic Mountains; some of the deposits contain Pliocene marine diatoms, Because of the interpretation that the Sirius Group tills and the marine diatoms were deposited by the East Antarctic Ice Sheet, it has been inferred that the East Antarctic Ice Sheet was much reduced in area and volume during the Pliocene. These interpretations were evaluated by studying Sirius Group lodgment tills on Mount Fleming in the Dry Valleys sector of the Transantarctic Mountains. We infer that the Sirius Group lodgment tills at Mount Fleming do not support the hypothesis that the East Antarctic Ice Sheet was much reduced during the Pliocene. We demonstrate that Sirius Group lodgment tills on Mount Fleming mere deposited by alpine ice. This conclusion is founded on ice-now directions inferred from rattails, gravel fabric, and the orientation of bullet boulders, as well as on sediment and gravel characteristics of the tills, Only a very few unidentifiable diatom fragments mere recovered, Better preserved, identifiable, Pliocene marine diatoms occur in moderate abundances in a 5-10-cm-thick unconsolidated and discontinuous drift that caps the lodgment tills, On the basis of the decline in diatom preservation with depth into the till, we dismiss transport of the better preserved diatoms by the ice that deposited the underlying Sirius Group lodgment till. Instead, we attribute diatom presence to eolian deposition and recycling into lodgment tills at a later stage.</t>
  </si>
  <si>
    <t>UNIV NEW HAMPSHIRE, INST STUDY EARTH OCEANS &amp; SPACE, CLIMATE CHANGE RES CTR, DURHAM, NH 03824 USA; UNIV NEW HAMPSHIRE, DEPT EARTH SCI, DURHAM, NH 03824 USA</t>
  </si>
  <si>
    <t>UNIV STOCKHOLM, DEPT PHYS GEOG, S-10691 STOCKHOLM, SWEDEN.</t>
  </si>
  <si>
    <t>Stroeven, Arjen/I-7330-2013</t>
  </si>
  <si>
    <t>Stroeven, Arjen/0000-0001-8812-2253</t>
  </si>
  <si>
    <t>1943-2674</t>
  </si>
  <si>
    <t>10.1130/0016-7606(1997)109&lt;0825:ACFSGA&gt;2.3.CO;2</t>
  </si>
  <si>
    <t>XL022</t>
  </si>
  <si>
    <t>WOS:A1997XL02200004</t>
  </si>
  <si>
    <t>Robert, C; Kennett, JP</t>
  </si>
  <si>
    <t>Antarctic continental weathering changes during Eocene-Oligocene cryosphere expansion: Clay mineral and oxygen isotope evidence</t>
  </si>
  <si>
    <t>SOUTH-ATLANTIC; OCEAN; GLACIATION; EVOLUTION</t>
  </si>
  <si>
    <t>We have analyzed clay minerals and oxygen isotopes over the Eocene-Oligocene climate transition (33.8-32.5 Ma) in Ocean Drilling Program Site 689, Maud Rise, Antarctica. Distinct changes in clay mineral assemblages suggest major instability in the East Antarctic climate for 0.7 m.y. during this time of general expansion of the Antarctic cryosphere and cooling of the Southern Ocean. Increased illite abundance reflects enhanced physical weathering associated with cryospheric development. Nevertheless, continued dominance of smectite indicates that chemical weathering continued to prevail during the early Oligocene. Weathering was much more intense than in modern deglaciated areas. The clay mineral data support evidence from marine sediments suggesting that continental and marine climatic conditions during the early Oligocene were intermediate between relative Eocene warmth and intense Neogene cold. The clay mineral variations during the transition reflect major changes in continental precipitation and related continental ice accumulation.</t>
  </si>
  <si>
    <t>UNIV CALIF SANTA BARBARA,DEPT GEOL SCI,SANTA BARBARA,CA 93106; UNIV CALIF SANTA BARBARA,INST MARINE SCI,SANTA BARBARA,CA 93106</t>
  </si>
  <si>
    <t>Robert, C (corresponding author), CTR OCEANOL MARSEILLE,LUMINY CASE 901,F-13288 MARSEILLE 9,FRANCE.</t>
  </si>
  <si>
    <t>Robert, Christian/AAL-2415-2020</t>
  </si>
  <si>
    <t>Robert, Christian/0000-0001-6635-3261; ROBERT, Christian/0000-0003-1324-1295</t>
  </si>
  <si>
    <t>10.1130/0091-7613(1997)025&lt;0587:ACWCDE&gt;2.3.CO;2</t>
  </si>
  <si>
    <t>XL021</t>
  </si>
  <si>
    <t>WOS:A1997XL02100003</t>
  </si>
  <si>
    <t>Ionospheric disturbances during CRRES active experiment on July 13, 1991</t>
  </si>
  <si>
    <t>BARIUM RELEASES</t>
  </si>
  <si>
    <t>Blagoveshchenskaya, NF (corresponding author), ARCTIC &amp; ANTARCTIC RES INST,ST PETERSBURG 199226,RUSSIA.</t>
  </si>
  <si>
    <t>Borisova, Tatiana/AAK-7698-2020</t>
  </si>
  <si>
    <t>XX389</t>
  </si>
  <si>
    <t>WOS:A1997XX38900007</t>
  </si>
  <si>
    <t>Hedd, A; Gales, R; Brothers, N; Robertson, G</t>
  </si>
  <si>
    <t>Diving behaviour of the Shy Albatross Diomedea cauta in Tasmania: Initial findings and dive recorder assessment</t>
  </si>
  <si>
    <t>IBIS</t>
  </si>
  <si>
    <t>DEPTHS; MELANOPHRIS; PENGUIN; ISLAND; SQUID</t>
  </si>
  <si>
    <t>The diving behaviour of the Shy Albatross Diomedea cauta was investigated using archival time-depth recorders (TDRs) and maximum depth gauges (MDGs), Data from birds carrying multiple devices and from diving simulations indicated that the degree oi. correspondence between TDRs and MDGs varied with the dive depth, duration and frequency, as well as with body placement, The MDGs were the most reliable when the diving depth was greater than 0.5 m, when the diving frequency was low and when gauges were placed on the birds' backs, The TDRs were used during late incubation and early chick rearing in 1994, Fifty-two dives (greater than or equal to 0.4 m) were recorded during 20 foraging trips of 15 individuals. The majority of dives were within the upper 3 m of the water column and lasted for less than 6 s, However, dives to 7.4 m and others lasting 19 s were recorded. The albatrosses dived between 07.00 h and 22.00 h, with peaks in their diving activity near midday and twilight, Mean diving depth varied throughout the day, with the deepest dives occurring between 10.00 h and 12.00 h, Two dive types were identified on the basis of the relationship between dive depth and descent rate, Plunge dives were short (less than or equal to 5 s), and the birds reached a maximum depth of 2.9 m. Swimming dives were both longer and deeper, The characteristics of Shy Albatross plunge dives were similar to those of gannets Morus spp,, which are known to be proficient plunge di divers. Swimming dives suggest that Shy Albatrosses actively pursue prey underwater.</t>
  </si>
  <si>
    <t>PK &amp; WILDLIFE SERV,DEPT ENVIRONM &amp; LAND MANAGEMENT,HOBART,TAS 7001,AUSTRALIA; AUSTRALIAN ANTARCTIC DIV,KINGSTON,TAS 7050,AUSTRALIA</t>
  </si>
  <si>
    <t>Hedd, A (corresponding author), UNIV TASMANIA,DEPT ZOOL,GPO BOX 252 C,HOBART,TAS 7001,AUSTRALIA.</t>
  </si>
  <si>
    <t>Hedd, April/0000-0003-2222-2627</t>
  </si>
  <si>
    <t>BRITISH ORNITHOLOGISTS UNION</t>
  </si>
  <si>
    <t>TRING</t>
  </si>
  <si>
    <t>C/O NATURAL HISTORY MUSEUM, SUB-DEPT ORNITHOLOGY, TRING, HERTS, ENGLAND HP23 6AP</t>
  </si>
  <si>
    <t>0019-1019</t>
  </si>
  <si>
    <t>Ibis</t>
  </si>
  <si>
    <t>10.1111/j.1474-919X.1997.tb04658.x</t>
  </si>
  <si>
    <t>XL052</t>
  </si>
  <si>
    <t>WOS:A1997XL05200003</t>
  </si>
  <si>
    <t>Olsson, O; North, AW</t>
  </si>
  <si>
    <t>Diet of the King Penguin Aptenodytes patagonicus during three summers at South Georgia</t>
  </si>
  <si>
    <t>FEEDING ECOLOGY; CROZET-ISLANDS; FOOD; SEABIRDS; CHICKS; PREY</t>
  </si>
  <si>
    <t>King Penguins Aptenadytes patagonicus which were rearing chicks were studied during three summers from November 1991 to March 1994 at South Georgia; Stomach samples (n = 115) collected by flushing had a mean mass of 1308 g, Fish mass was allocated to each species based on the relationship between fish mass and otolith length, Three mesopelagic lanternfishes (Myctophidae), Krefftichthys anderssoni, Electrona carlsbergi and Protomyctophum choriodon, dominated the diet both by numbers and mass, They were small fish with mean mass of 3-7 g, Overall, K. anderssoni dominated the diet in terms of numbers and mass. Although Barracudina Notolepis coatsi occurred in &lt;3% of the diet by numbers, it was large (106 g) and was second most important in terms of mass. Squid represented &lt;3% of the diet by mass, Although the chick-rearing success was poor in the 1993-1994 summer, meal size was not reduced but foraging trips were longer in the 1993-1994 summer, a larger proportion of the otoliths were not identifiable because they were more completely digested, Fewer otoliths were identified as being those of K. anderssoni, but we argue that about 90% of the unidentified otoliths were K. anderssoni. There was also more squid and N. coatsi in the diet during the poor summer A consistent trend was that P. choriadon was rare or absent in early summer but more important later in the year, and at the end of 1992-1993, it was the dominant prey. We conclude that myctophid fish, especially K. anderssoni, are the main summer prey of King Penguins rearing chicks at South Georgia, as found in other recent: studies in the Southern Ocean.</t>
  </si>
  <si>
    <t>UNIV STOCKHOLM,DEPT ZOOL,S-10691 STOCKHOLM,SWEDEN; BRITISH ANTARCTIC SURVEY,NERC,CAMBRIDGE CB3 0ET,ENGLAND</t>
  </si>
  <si>
    <t>Stockholm University; UK Research &amp; Innovation (UKRI); Natural Environment Research Council (NERC); NERC British Antarctic Survey</t>
  </si>
  <si>
    <t>Olsson, O (corresponding author), UPPSALA UNIV,DEPT ZOOL,VILLAVAGEN 9,S-75236 UPPSALA,SWEDEN.</t>
  </si>
  <si>
    <t>10.1111/j.1474-919X.1997.tb04666.x</t>
  </si>
  <si>
    <t>WOS:A1997XL05200011</t>
  </si>
  <si>
    <t>MatthesSears, U; Gerrath, JA; Larson, DW</t>
  </si>
  <si>
    <t>Abundance, biomass, and productivity of endolithic and epilithic lower plants on the temperate-zone cliffs of the Niagara escarpment, Canada</t>
  </si>
  <si>
    <t>INTERNATIONAL JOURNAL OF PLANT SCIENCES</t>
  </si>
  <si>
    <t>ANTARCTIC DESERT; DRY VALLEYS; CRYPTOENDOLITHIC MICROBIOTA; COLD DESERTS; GAS-EXCHANGE; LICHENS; ALGAE; CHLOROPHYLL; HOT; COMMUNITIES</t>
  </si>
  <si>
    <t>To investigate the cover, frequency, biomass, and productivity of endolithic and epilithic lower plants on temperate zone cliff faces, rock samples were randomly collected from the Niagara Escarpment in southern Ontario, Canada. Chlorophyll was extracted using dimethyl sulfoxide (DMSO), and CO2 gas exchange was measured in the laboratory using infrared gas analysis. Epilithic surface cover averaged 26% for cyanobacteria, 3% for green algae, and 20% for lichens. Endoliths were present below 6% of the surface area, with chasmoendoliths about twice as common as cryptoendoliths. Fungi were by far the most common organisms. The cliffs contained 73.0 mg chi a and 19.8 mg chi b per square meter; 15% and 23% of these, respectively, were in the endolithic zone. Biomass of primary producers (algae, cyanobacteria, and lichen photobionts) was 1.5-73 g dry mass m(-2) total, and 0.3-14 g m(-2) in the endolithic zone alone. Photosynthetic carbon uptake was 0.0021 mg CO2 cm(-2) h(-1) at 700 mu mol m(-2) s(-1) photosynthetically active radiation (PAR). At PAR = 130 mu mol m(-2) s(-1), a small amount of carbon was released (0.5 mg CO2 m(-2) s(-1)); dark respiration was 0.0096 mg CO2 cm(-2) h(-1). The upper limit for carbon fixation by primary producers was estimated from this to be 2.3 mg CO2 cm(-2) yr(-1), but endolithic and epilithic zones as a whole were shown to be net consumers of CO2. Cover, occurrence, biomass, and productivity of endoliths and epiliths showed most of their variability on a scale smaller than a square meter; there was little or no consistent variation from north to south or from cliff top to bottom. Seasonal changes were absent when chlorophyll and gas exchange rates were expressed on a unit cliff surface basis. Gas exchange on a chlorophyll a basis, as well as the chi a:phaeophytin a ratio, showed a general decline between spring and fall.</t>
  </si>
  <si>
    <t>UNIV GUELPH, DEPT BOT, CLIFF ECOL RES GRP, GUELPH, ON N1G 2W1, CANADA.</t>
  </si>
  <si>
    <t>1058-5893</t>
  </si>
  <si>
    <t>1537-5315</t>
  </si>
  <si>
    <t>INT J PLANT SCI</t>
  </si>
  <si>
    <t>Int. J. Plant Sci.</t>
  </si>
  <si>
    <t>10.1086/297455</t>
  </si>
  <si>
    <t>XN628</t>
  </si>
  <si>
    <t>WOS:A1997XN62800007</t>
  </si>
  <si>
    <t>Hepatophytes from the early Cretaceous of Alexander island, Antarctica: Systematics and paleoecology</t>
  </si>
  <si>
    <t>AUSTRALIA; FOLIAGE</t>
  </si>
  <si>
    <t>Hepatophytes from an important component of the Lower Cretaceous (late Albian) flora of Alexander Island, Antarctica. The liverworts Marchantites rosulatus sp, nov., Thallites bicostatus sp, nov., and Thallites sp, colonized freshly deposited river sands and muds, forming distinct carpets that probably served to bind the sediment and allow the succession of other plant groups. Within established plant communities, M. pinnatus sp. nov. and M. taenioides sp. nov. formed a ground layer beneath an overstory of the ferns Alamatus bifarius and Aculea acicularis. Swampy communities with an overstory oi the conifers Podozamites and Elatocladus contained a variety of thalloid (M. undulatus sp. nov., Hepaticites minutus sp. nov.) and leafy liverworts (Hepaticites spp.). The distribution of in situ liverworts, and a clear association of taxa with a variety of foliage types, indicated that the hepatophytes occupied a wide range of ecological niches during the Cretaceous. The high within-flora diversity and relative abundance of individual hepatics appeared to be a special feature of high-latitude vegetation during the Cretaceous.</t>
  </si>
  <si>
    <t>10.1086/297458</t>
  </si>
  <si>
    <t>WOS:A1997XN62800010</t>
  </si>
  <si>
    <t>Bowman, JP; McCammon, SA; Brown, JL; Nichols, PD; McMeekin, TA</t>
  </si>
  <si>
    <t>Psychroserpens burtonensis gen. nov, sp. nov, and Gelidibacter algens gen. nov, sp. nov, psychrophilic bacteria isolated from Antarctic lacustrine and sea ice habitats</t>
  </si>
  <si>
    <t>GAS VACUOLATE BACTERIA; FATTY-ACID COMPOSITION; MCMURDO-SOUND; MICROBIAL COMMUNITIES; WEDDELL SEA; FLAVOBACTERIUM; STRAINS; LAKE; BIODIVERSITY; ABUNDANCE</t>
  </si>
  <si>
    <t>Psychrophilic, yellow-pigmented, seawater-requiring bacteria isolated from the pycnocline of meromictic Burton Lake and from sea ice cores obtained in the Vestfold Bills (68 degrees S, 78 degrees E) in eastern Antarctica were characterized. Phenotypic analysis showed that the strains isolated formed two distinct taxa. The first taxon included nonmotile, nutritionally fastidious strains that were isolated from the pycnocline of Burton Lake. The cells of these strains were morphologically variant, ranging from vibrioid to ring shaped to coiled and filamentous; in addition, the strains were unable to metabolize carbohydrates or polysaccharides and had DNA G+C contents of 27 to 29 mol%. The strains of the second taxon, which were isolated from sea ice cores and from ice algal biomass, were saccharolytic, exhibited rapid gliding motility, were rodlike to filamentous, and had DNA G+C contents of 36 to 38 mol%. A 16S ribosomal DNA (rDNA) sequence analysis revealed that the two Antarctic taxa formed related but distinct lineages within the [Flexibacter] maritimus rRNA branch of the family Flavobacteriaceae. The levels of 16S rDNA sequence similarity between the taxa were 90.5 to 91.3%, while the levels of similarity to other members of the [F.] maritimus rRNA branch were 85 to 90%. The whole-cell lipid profiles of the Antarctic strains were mainly comprised of branched and unbranched monounsaturated C-15 to C-17 fatty acids. The presence of significant levels of the lipids a15:1 omega 10c and a17:1 omega 7c appeared to be useful biomarkers for the new Antarctic taxa and for differentiating these organisms from ether members of the family Flavobacteriaceae. On the basis of polyphasic taxonomic data we propose that the new taxa are novel bacterial species designated Psychroserpens burtonensis gen. nov., sp, nov. (type strain, ACAM 188) and Gelidibacter algens gen. nov., sp. nov. (type strain, ACAM 536).</t>
  </si>
  <si>
    <t>Bowman, John P./ABF-5108-2020; Bowman, John P/C-2414-2014; Nichols, Peter D/C-5128-2011; Brown, Janelle/B-6629-2011</t>
  </si>
  <si>
    <t>Bowman, John P./0000-0002-4528-9333; Bowman, John P/0000-0002-4528-9333; Brown, Janelle/0000-0002-9125-8474</t>
  </si>
  <si>
    <t>10.1099/00207713-47-3-670</t>
  </si>
  <si>
    <t>XK390</t>
  </si>
  <si>
    <t>WOS:A1997XK39000011</t>
  </si>
  <si>
    <t>Besprozvannaya, AS; Ohl, GI; Sazonov, BI; Scherba, IA; Schuka, TI; Troshichev, OA</t>
  </si>
  <si>
    <t>Influence of short-term changes in solar activity on baric field perturbations in the stratosphere</t>
  </si>
  <si>
    <t>ATMOSPHERE; CIRCULATION; CONNECTION; WIND; QBO</t>
  </si>
  <si>
    <t>The Sazonov index characterising the intensity of meridional circulation has been used to study the influence of short-term changes in solar activity on baric (pressure) field perturbations in the stratosphere. The results show that stratospheric circulation responses to various manifestations of solar activity may be different. The solar central meridian passage of active regions leads to the development of stratospheric perturbations in the case of both west and east QBO phases: Forbush decreases of galactic cosmic rays are followed by falls of the stratospheric perturbation to minimal levels, irrespective of the QBO phase. Interplanetary sector boundaries' intersections of Earth lead to increases of the stratospheric perturbation in the case of away/toward boundaries and to decreases of the perturbation in the case of toward/away boundaries, the effect being dependent on the content of volcanic aerosols in the stratosphere and on the QBO phase. The results support the global electric circuit mechanism put forward by Tinsley et al. (1989). (C) 1997 Elsevier Science Ltd.</t>
  </si>
  <si>
    <t>MAIN GEOPHYS OBSERV,ST PETERSBURG,RUSSIA</t>
  </si>
  <si>
    <t>Besprozvannaya, AS (corresponding author), ARCTIC &amp; ANTARCTIC RES INST,BERING ST 38,ST PETERSBURG 199226,RUSSIA.</t>
  </si>
  <si>
    <t>10.1016/S1364-6826(96)00075-2</t>
  </si>
  <si>
    <t>XD895</t>
  </si>
  <si>
    <t>WOS:A1997XD89500002</t>
  </si>
  <si>
    <t>vonStorch, JS; Kharin, VV; Cubasch, U; Hegerl, GC; Schriever, D; vonStorch, H; Zorita, E</t>
  </si>
  <si>
    <t>A description of a 1260-year control integration with the coupled ECHAM1/LSG general circulation model</t>
  </si>
  <si>
    <t>OCEAN-ATMOSPHERE MODEL; GEOPOTENTIAL HEIGHT; NORTHERN HEMISPHERE; SPATIAL VARIABILITY; SOUTHERN-HEMISPHERE; FLUCTUATIONS; ANOMALIES; PRESSURE</t>
  </si>
  <si>
    <t>A 1260-yr integration generated by the ECHAM1/LSG (Large Scale Geostrophic) coupled atmosphere-ocean general circulation model is analyzed in this paper. The analysis focuses on the climate drift and on the variations of the coupled atmosphere-ocean system after the initial climate drift has essentially died out. The initial drift is induced, to a large extent, by the applied heat flux correction, which has very large spatially fixed values of upward heat flux in the polar regions, in particular along the Antarctic coast. The globally integrated freshwater flux becomes unbalanced during the integration, due to the changes in the snow accumulation rate over Greenland and Antarctica. The resulting net upward freshwater flux induces a linear trend in the salinity of the upper ocean. The drift of temperature and salinity in the deep ocean, which is essentially independent of the boundary condition variations during the coupled integration, is presumably related to the spinup of the deep ocean prior to the coupling. The analysis of the last 810 yr of the integration, which is free from the strong initial drift, suggests that the tropospheric variations are white on timescales longer than I yr. The dominant Northern Hemispheric mode resembles the western Atlantic pattern. The dominant tropical and Southern Hemispheric modes are essentially zonally symmetric. All these modes can be found on both short (1 yr) and long (15 yr) timescales. For the oceanic variations, the spatial distribution of the total variance and the dominant modes and the relationships between these modes are studied. For the horizontal barotropic streamfunction, the most dominant mode describes an anomalous westward (eastward) circumpolar flow together with clockwise (anticlockwise) circulation in the Southern Atlantic and southeast of South Africa and in the Southern Pacific. For the zonally averaged meridional circulations the most dominant modes of variability describe essentially recirculations within each basin.</t>
  </si>
  <si>
    <t>UNIV HAMBURG,INST METEOROL,D-2000 HAMBURG,GERMANY; UNIV VICTORIA,CANADIAN CTR CLIMATE MODELING &amp; ANAL,VICTORIA,BC,CANADA; GERMAN CLIMATE COMP CTR,HAMBURG,GERMANY; MAX PLANCK INST METEOROL,HAMBURG,GERMANY</t>
  </si>
  <si>
    <t>University of Hamburg; Environment &amp; Climate Change Canada; Canadian Centre for Climate Modelling &amp; Analysis (CCCma); University of Victoria; Max Planck Society</t>
  </si>
  <si>
    <t>vonStorch, JS (corresponding author), GKSS FORSCHUNGSZENTRUM GEESTHACHT GMBH,RES CTR,INST HYDROPHYS,D-21502 GEESTHACHT,GERMANY.</t>
  </si>
  <si>
    <t>von Storch, Hans/J-4165-2012</t>
  </si>
  <si>
    <t>von Storch, Hans/0000-0002-5825-8069; Hegerl, Gabriele/0000-0002-4159-1295; Cubasch, Ulrich/0000-0001-9628-4666</t>
  </si>
  <si>
    <t>10.1175/1520-0442(1997)010&lt;1525:ADOAYC&gt;2.0.CO;2</t>
  </si>
  <si>
    <t>XP278</t>
  </si>
  <si>
    <t>WOS:A1997XP27800004</t>
  </si>
  <si>
    <t>Everson, I; Kock, KH; Parkes, G</t>
  </si>
  <si>
    <t>Interannual variation in condition of the mackerel icefish</t>
  </si>
  <si>
    <t>JOURNAL OF FISH BIOLOGY</t>
  </si>
  <si>
    <t>icefish; condition index; krill</t>
  </si>
  <si>
    <t>ANTARCTIC FUR SEALS; SOUTH GEORGIA; FISH</t>
  </si>
  <si>
    <t>Mackerel icefish Champsocephalus gunnari are widespread on the South Georgia (54 degrees S, 36 degrees W) shelf. Analysis of condition indicated a strong interannual variation. High condition indices, indicative of good feeding conditions, were present when krill were abundant in the region. Years when krill were scarce and condition index was consequently low, were consistent with years when indices From land-based krill predators also indicated that krill were scarce. (C) 1997 The Fisheries Society of the British Isles.</t>
  </si>
  <si>
    <t>UNIV LONDON IMPERIAL COLL SCI TECHNOL &amp; MED,RENEWABLE RESOURCES ASSESSMENT GRP,LONDON SW7 1NA,ENGLAND; BUNDESFORSCH ANSTALT FISCHEREI,INST SEEFISCHEREI,HAMBURG,GERMANY</t>
  </si>
  <si>
    <t>Imperial College London</t>
  </si>
  <si>
    <t>Everson, I (corresponding author), BRITISH ANTARCTIC SURVEY,NERC,MADINGLEY RD,CAMBRIDGE CB3 0ET,ENGLAND.</t>
  </si>
  <si>
    <t>0022-1112</t>
  </si>
  <si>
    <t>J FISH BIOL</t>
  </si>
  <si>
    <t>J. Fish Biol.</t>
  </si>
  <si>
    <t>Fisheries; Marine &amp; Freshwater Biology</t>
  </si>
  <si>
    <t>XJ861</t>
  </si>
  <si>
    <t>WOS:A1997XJ86100013</t>
  </si>
  <si>
    <t>Thorne, RM; Horne, RB</t>
  </si>
  <si>
    <t>Modulation of electromagnetic ion cyclotron instability due to interaction with ring current O+ during magnetic storms</t>
  </si>
  <si>
    <t>Chapman Conference on Magnetic Storms</t>
  </si>
  <si>
    <t>FEB 12-16, 1996</t>
  </si>
  <si>
    <t>CALIF INST TECHNOL, PROPULS LAB, PASADENA, CA</t>
  </si>
  <si>
    <t>CALIF INST TECHNOL, PROPULS LAB</t>
  </si>
  <si>
    <t>IONOSPHERIC ACCELERATION MECHANISM; WAVES; GENERATION; REGION; H+; MAGNETOSPHERE; PLASMAPAUSE; DYNAMICS; PROTONS; GROWTH</t>
  </si>
  <si>
    <t>We demonstrate that the observed enhancement in the fractional composition eta(O+) of ring current O+ ions during magnetic storms can have a strong controlling effect on the excitation of electromagnetic ion cyclotron (EMIC) waves. For modest storms, when eta(O+) less than or equal to 30%, strong EMIC excitation can occur in the frequency band above the oxygen gryofrequency, Omega(O+), due to cyclotron resonance with anisotropic ring current H+ ions. The path-integrated gain obtained from ray tracing is sufficient to drive wave amplitudes into the nonlinear regime in a region near the equatorial duskside plasmapause. The excited wave energy is found to be absorbed efficiently at high latitudes via cyclotron resonant interactions with energetic O+ leading to perpendicular heating of the O+ population. Intense waves generated near the equator should therefore not be detectable at low altitudes once the density of O+ has been enhanced during the main phase of a storm. Cyclotron absorption will also enhance the anisotropy of energetic resonant O+ ions. We show that such enhanced anisotropy can excite cyclotron instabilities at frequencies below Omega(O+) which are able to propagate to low altitudes and be detectable either on the ground or on low altitude satellites during the storm main phase. For the most intense storms, when the concentration of O+ can attain values eta(O+) greater than or equal to 60%, cyclotron absorption by resonant O+ can become so severe as to totally suppress wave excitation in the band above Omega(O+). The most rapid loss process for the ring current (i.e., that due to wave particle scattering) could therefore be suppressed during the main phase of such storms. This raises the interesting question of whether the main phase Dst depression might be modulated by the relative concentration of energetic O+ through the process of resonant interaction with EMIC waves.</t>
  </si>
  <si>
    <t>Thorne, RM (corresponding author), UNIV CALIF LOS ANGELES,DEPT ATMOSPHER SCI,405 HILGARD AVE,LOS ANGELES,CA 90024, USA.</t>
  </si>
  <si>
    <t>JUL 1</t>
  </si>
  <si>
    <t>A7</t>
  </si>
  <si>
    <t>10.1029/96JA04019</t>
  </si>
  <si>
    <t>XJ204</t>
  </si>
  <si>
    <t>WOS:A1997XJ20400013</t>
  </si>
  <si>
    <t>Klok, CJ; Chown, SL</t>
  </si>
  <si>
    <t>Critical thermal limits, temperature tolerance and water balance of a sub-Antarctic caterpillar, Pringleophaga marioni (Lepidoptera: Tineidae)</t>
  </si>
  <si>
    <t>Pringleophaga marioni; freeze tolerance; desiccation resistance; osmoregulation</t>
  </si>
  <si>
    <t>PRINCE-EDWARD-ISLANDS; COLD-HARDINESS; SOUTH-GEORGIA; TERRESTRIAL ARTHROPODS; DESICCATION RESISTANCE; SUBZERO TEMPERATURES; FREEZING-TOLERANCE; NUTRIENT DYNAMICS; PLANT-COMMUNITIES; KELP DEGRADATION</t>
  </si>
  <si>
    <t>Thermal tolerance, supercooling point, water balance and osmoregulatory ability of Pringleophaga marioni Viette (Lepidoptera: Tineidae) are investigated in this study, Field-fresh larvae had a mean CTMin (cold stupor) of -0.6 degrees C and a mean CTMax (heat coma) of 38.7 degrees C. The mean supercooling point of held-fresh individuals was -5.0 degrees C, Caterpillars showed 100% survival of freezing to -6.5 degrees C, but at -12 degrees C mortality rose to 100%, Survival of a 30 h exposure to -6.0 degrees C was 80%, but declined to 30% in the 6-12 h interval at -7.5 degrees C. No caterpillars survived for longer than 12 h at -9.0 degrees C, Survival of high temperatures (35 degrees C and above) was poor. Tolerance of water loss (46% of fresh mass) and rates of water loss (1% fresh mass h(-1)) were similar to those found in other mesic insects, P. marioni larvae were incapable of metabolizing lipids to replenish lost water and showed no haemolymph osmoregulatory ability. It is suggested that the preponderance of freeze tolerance in high-latitude southern hemisphere species may be associated with their occurrence in moist habitats, and that the ''freeze tolerance'' category be re-examined in the light of the range of strategies adopted by such arthropods. (C) 1997 Elsevier Science Ltd.</t>
  </si>
  <si>
    <t>UNIV PRETORIA, DEPT ZOOL &amp; ENTOMOL, ZA-0002 PRETORIA, SOUTH AFRICA</t>
  </si>
  <si>
    <t>Chown, Steven/ABD-7646-2021; Chown, Steven L/H-3347-2011</t>
  </si>
  <si>
    <t>XT816</t>
  </si>
  <si>
    <t>WOS:A1997XT81600011</t>
  </si>
  <si>
    <t>Arcangeli, C; Zucconi, L; Onofri, S; Cannistraro, S</t>
  </si>
  <si>
    <t>Fluorescence study on whole Antarctic fungal spores under enhanced UV irradiation</t>
  </si>
  <si>
    <t>Antarctic fungus; fluorescence spectroscopy; UV</t>
  </si>
  <si>
    <t>ULTRAVIOLET-RADIATION; BLUE FLUORESCENCE; LIGHT-SCATTERING; PHOTOSYNTHESIS; SPECTROSCOPY; EXPOSURE</t>
  </si>
  <si>
    <t>The optical fluorescence properties of whole Antarctic fungal spores have been investigated in order to evaluate the effects of artificial enhanced UV irradiation. The spores suspension show three main emission bands with maxima around 345, 430, and 510 nm, undergoing to substantial changes after irradiations at lambda&gt;280 (UV-B+UV-A+ visible) and lambda&gt;265 (UV-C+UV-B+UV-A+ visible). The optical spectroscopic analysis, conducted also on total sporal extracts, indicates the involvement of the electron-proton translocating molecules in the respiratory chain and of the carotenoid pigments in these changes. Moreover it seems that the UV irradiation is responsible for the accumulation of age pigments in the irradiated spores. (C) 1997 Elsevier Science S.A.</t>
  </si>
  <si>
    <t>UNIV TUSCIA,DIPARTIMENTO SCI AMBIENTALI,I-01100 VITERBO,ITALY; UNIV PERUGIA,DIPARTIMENTO FIS,UNITA INFM,I-06100 PERUGIA,ITALY</t>
  </si>
  <si>
    <t>Tuscia University; University of Perugia</t>
  </si>
  <si>
    <t>Arcangeli, Caterina/AFR-1728-2022; Zucconi, L./U-9781-2018; cannistraro, salvatore/D-4598-2015</t>
  </si>
  <si>
    <t>Arcangeli, Caterina/0000-0002-5459-1024; Zucconi, L./0000-0001-9793-2303; ONOFRI, Silvano/0000-0001-8872-1440; cannistraro, salvatore/0000-0002-0228-7311</t>
  </si>
  <si>
    <t>ELSEVIER SCIENCE SA LAUSANNE</t>
  </si>
  <si>
    <t>10.1016/S1011-1344(97)00019-5</t>
  </si>
  <si>
    <t>XM560</t>
  </si>
  <si>
    <t>WOS:A1997XM56000012</t>
  </si>
  <si>
    <t>Yang, HJ; Liu, ZY</t>
  </si>
  <si>
    <t>The three-dimensional chaotic transport and the great ocean barrier</t>
  </si>
  <si>
    <t>FLOWS</t>
  </si>
  <si>
    <t>The aim of this paper is to renew interest in the Lagrangian view of global and basin ocean circulations and its implications in physical and biogeochemical ocean processes. The paper examines the Lagrangian transport, mixing, and chaos in a simple, laminar. three-dimensional, steady, basin-scale oceanic Row consisting of the gyre and the thermohaline circulation mode. The Lagrangian structure of this flow could not be chaotic if the steady oceanic flow consists of only either one of the two modes nor if the Row is zonally symmetric, such as the Antarctic Circumpolar Current. However, when both the modes are present, the Lagrangian structure of the flew is chaotic, resulting in chaotic trajectories and providing the enhanced transport and mixing and microstructure of a tracer field. The Lagrangian trajectory and tracer experiments show the great complexity of the Lagrangian geometric structure of the Row field and demonstrate the complicated transport and mixing processes in the World Ocean. The finite-time Lyapunov exponent analysis has successfully characterized the Lagrangian nature. One of the most important findings is the distinct large scale barrier-which the authors term thr great ocean barrier-within the ocean interior with upper and lower branches, as remnants of the Kolmogorov-Arnold-Moser (KAM) invariant surfaces. The most fundamental reasons for such Lagrangian structure are the intrinsic nature of the long time mean, global and basin-scale oceanic flow: the three-dimensionality and incompressibility giving rise to chaos and to the great ocean barrier, respectively. Implications of these results are discussed, from the great ocean conveyor hypothesis to the predictability of the (quasi) Lagrangian drifters and floats in the climate observing system.</t>
  </si>
  <si>
    <t>UNIV WISCONSIN,DEPT ATMOSPHER &amp; OCEAN SCI,MADISON,WI</t>
  </si>
  <si>
    <t>Yang, HJ (corresponding author), UNIV S FLORIDA,DEPT MARINE SCI,140 7TH AVE S,ST PETERSBURG,FL 33701, USA.</t>
  </si>
  <si>
    <t>10.1175/1520-0485(1997)027&lt;1258:TTDCTA&gt;2.0.CO;2</t>
  </si>
  <si>
    <t>XM923</t>
  </si>
  <si>
    <t>WOS:A1997XM92300005</t>
  </si>
  <si>
    <t>Why potential vorticity is not conserved along mean streamlines in a numerical Southern Ocean</t>
  </si>
  <si>
    <t>ANTARCTIC CIRCUMPOLAR CURRENT; MODEL; CIRCULATION; BUDGET</t>
  </si>
  <si>
    <t>Potential vorticity (PV) is used as an indicator of the forcing processes and dissipation at work in the Southern Ocean. Output from the Semtner-Chervin model run with quarter-degree resolution is considered on isopycnal surfaces along Montgomery stream functions. Numerical results are compared with hydrographic measurements. Although simple hypotheses might suggest that subsurface PV should be unaffected by wind forcing and constant along streamlines, these results indicate that even at about 1000-m depth, PV varies along mean streamlines in both the numerical model output and in the in situ observations. The changes in PV are largely represented by stratification changes rather than shifts in the Coriolis parameter or in relative vorticity. In the numerical model output, a combination of mechanisms is responsible for these changes in PV, including transient tracer fluxes, transient momentum fluxes, diffusive processes, and long-term tracer drift.</t>
  </si>
  <si>
    <t>Gille, ST (corresponding author), UNIV CALIF SAN DIEGO,SCRIPPS INST OCEANOG,PHYS OCEANOG RES DIV,LA JOLLA,CA 92093, USA.</t>
  </si>
  <si>
    <t>10.1175/1520-0485(1997)027&lt;1286:WPVINC&gt;2.0.CO;2</t>
  </si>
  <si>
    <t>WOS:A1997XM92300007</t>
  </si>
  <si>
    <t>Hjort, C; Ingolfsson, O; Moller, P; Lirio, JM</t>
  </si>
  <si>
    <t>Holocene glacial history and sea-level changes on James Ross Island, Antarctic Peninsula</t>
  </si>
  <si>
    <t>JOURNAL OF QUATERNARY SCIENCE</t>
  </si>
  <si>
    <t>Quaternary geology; glaciation; sea-levels; palaeoclimatology; James Ross Island; Antarctica</t>
  </si>
  <si>
    <t>LATE PLEISTOCENE; LAKE; SEDIMENTATION; PAVEMENTS; EVOLUTION; SEQUENCE; INLET; AREA</t>
  </si>
  <si>
    <t>A reconstruction of deglaciation and associated sea-level changes on northern James Ross Island, Antarctic Peninsula, based on lithostratigraphical and geomorphological studies, shows that the initial deglaciation of presently ice-free areas occurred slightly before 7400 C-14 yr BP. Sea-level in connection with the deglaciation was around 30 m a.s.l. A glacier readvance in Brandy Bay, of at least 7 km, with the initial 3 km over land, reached a position off the present coast at ca. 4600 yr BP. The culmination of the advance was of short duration, and by 4300 yr BP the coastal lowlands again were ice-free. A distinct marine level at 16-18 m a.s.l. was contemporaneous with or slightly post-dates the Brandy Bay advance, thus indicating the relative sea-level around 4600-4500 yr BP. Our results from lames Ross Island confirm that over large areas in this part of Antarctica the last deglaciation occurred late. (C) 1997 by John Wiley &amp; Sons, Ltd.</t>
  </si>
  <si>
    <t>GOTHENBURG UNIV, CTR EARTH SCI, DEPT GEOL, S-41381 GOTHENBURG, SWEDEN; INST ANTARTICO ARGENTINO, RA-1010 BUENOS AIRES, DF, ARGENTINA</t>
  </si>
  <si>
    <t>University of Gothenburg; Instituto Antartico Argentino</t>
  </si>
  <si>
    <t>Hjort, C (corresponding author), LUND UNIV, DEPT QUATERNARY GEOL, SOLVEGATAN 13, S-22362 LUND, SWEDEN.</t>
  </si>
  <si>
    <t>0267-8179</t>
  </si>
  <si>
    <t>J QUATERNARY SCI</t>
  </si>
  <si>
    <t>J. Quat. Sci.</t>
  </si>
  <si>
    <t>10.1002/(SICI)1099-1417(199707/08)12:4&lt;259::AID-JQS307&gt;3.3.CO;2-Y</t>
  </si>
  <si>
    <t>XY950</t>
  </si>
  <si>
    <t>WOS:A1997XY95000001</t>
  </si>
  <si>
    <t>Hathway, B</t>
  </si>
  <si>
    <t>Nonmarine sedimentation in an early Cretaceous extensional continental-margin arc, Byers peninsula, Livingston island, south Shetland islands</t>
  </si>
  <si>
    <t>ANTARCTIC PENINSULA; PYROCLASTIC DEPOSITS; NORTH WALES; STRATIGRAPHY; ORDOVICIAN; EVOLUTION; ERUPTION</t>
  </si>
  <si>
    <t>Upper Jurassic-Lower Cretaceous rocks of the Byers Group, exposed on Byers Peninsula, Livingston Island, record the expansion of Gondwana margin continental-are facies into a marine intra-arc basin, At least 1.3 km of marine elastic rocks are overlain by about 1.3 km of Lower Cretaceous nonmarine volcaniclastic strata assigned to the Cerro Negro Formation, The base of the nonmarine succession is marked by a low-angle unconformity, The lower 200-240 m is largely pale green and gray-weathering, and consists mainly of welded and nonwelded silicic ignimbrites, with subordinate reworked silicic tuffs and ignimbritic conglomerates, A change in color to dark red-purple at the top of this interval broadly coincides with a change to a largely basaltic-intermediate provenance, The rest of the succession consists mainly of poorly sorted lithic lapilli-tuffs and tuffaceous breccias largely interpreted as debris-dow and flood flow deposits, It also includes two welded silicic ignimbrite units rich in basaltic clasts, and is considered to represent a volcaniclastic apron flanking one or more basaltic andesite stratovolcanoes. Though it is dominated by syn-eruption deposits, this upper division also includes laterally impersistent, subsidence-driven inter eruption facies, including basaltic conglomerates deposited in incised fluvial channels, minor lacustrine intervals, and rare paleosols, A thicker (100 m), peninsula-wide, mudstone/sandstone dominated horizon represents a more extended period of inter-eruption deposition, during which the area was the site of a substantial lake. Throughout the Cerro Negro Formation, thickness and facies changes provide evidence of synsedinentary displacement across a series of ENE-trending normal faults, most with downthrow to the south, In the upper part of the formation, resulting differential subsidence led to southward thickening accompanied by increased preservation of inter-eruption facies, and on a smaller scale, trapping of a fluvial channel against the footwall of a synsedimentary fault, This tectonism appears to form part of an Early Cretaceous episode of arc perpendicular extension well documented elsewhere in the Antarctic Peninsula region.</t>
  </si>
  <si>
    <t>Hathway, B (corresponding author), BRITISH ANTARCTIC SURVEY,NERC,MADINGLEY RD,HIGH CROSS,CAMBRIDGE CB3 0ET,ENGLAND.</t>
  </si>
  <si>
    <t>XK715</t>
  </si>
  <si>
    <t>WOS:A1997XK71500006</t>
  </si>
  <si>
    <t>Jones, S</t>
  </si>
  <si>
    <t>Late Quaternary faulting and neotectonics, south Victoria Land, Antarctica</t>
  </si>
  <si>
    <t>Neotectonics; Antarctica; Victoria Land; rifting; Transantarctic Mountains</t>
  </si>
  <si>
    <t>DRY VALLEYS AREA; WESTERN ROSS SEA; TRANSANTARCTIC-MOUNTAINS; EXPOSURE AGES; RIFT SYSTEM; UPLIFT; BE-10; AL-26; CONSTRAINTS; PLIOCENE</t>
  </si>
  <si>
    <t>Three Quaternary fault traces in Hidden and Garwood Valleys, South Victoria Land, provide direct evidence for neotectonic activity in the Transantarctic Mountain rift shoulder of the West Antarctic Rift system. The Faults trend NE-SW and all show a large component of sinistral strike-slip displacement. The late Quaternary faults lie parallel to Palaeozoic brittle structures, suggesting that inherited anistropy has governed younger fault orientations. Sinistral displacement on NE-SW-striking Quaternary faults appears to be inconsistent with the predicted Cenozoic NW-SE dextral oblique extensional regime in South Victoria Land but can be accommodated by minor clockwise rotation of crustal blocks.</t>
  </si>
  <si>
    <t>UNIV OTAGO,DEPT GEOL,DUNEDIN,NEW ZEALAND</t>
  </si>
  <si>
    <t>10.1144/gsjgs.154.4.0645</t>
  </si>
  <si>
    <t>XK676</t>
  </si>
  <si>
    <t>WOS:A1997XK67600010</t>
  </si>
  <si>
    <t>Croxall, JP; Prince, PA; Reid, K</t>
  </si>
  <si>
    <t>Dietary segregation of krill-eating south Georgia seabirds</t>
  </si>
  <si>
    <t>PENGUINS PYGOSCELIS-PAPUA; ANTARCTIC FUR SEALS; GIANT PETRELS MACRONECTES; PRION PACHYPTILA-DESOLATA; FEEDING ECOLOGY; DIVING PATTERN; BIRD-ISLAND; EUDYPTES-CHRYSOLOPHUS; MACARONI PENGUINS; FORAGING ECOLOGY</t>
  </si>
  <si>
    <t>The diets of six of the main seabird species (two petrels, two albatrosses, two penguins) breeding at Bird Island, South Georgia were studied simultaneously during the chick-rearing period in 1986. For five species, Antarctic krill Euphausia superba was the main food (39-98% by mass); grey-headed albatrosses took mainly the ommastrephid squid Martialia hyadesi (71%) and only 16% krill. The size of the krill taken was similar between seabird species, although there were small but significant differences between penguins and the other species. Sex and reproductive status of krill, however, was different between all seabird species, reflecting some combination of differences in foraging ranges, selectivity by predators, or differences in escape responses of krill. For the krill-eating species, the rest of the diet varied substantially between species, comprising Martialia and nototheniid fish (black browed albatross and, along with lanternfish, white-chinned petrel), lanternfish and amphipods (Antarctic prion and macaroni penguin), and icefish (gentoo penguin). Long-term data on breeding success and information on diet in 5-10 other years suggest that in 1986 seabird diet and reproductive performance was indicative of a year of good availability of krill around South Georgia. In such circumstances, ecological segregation between krill-eating species appears to be maintained chiefly by differences in foraging range and feeding methods, which are reviewed. This situation is rather different from the few studies of seabird communities elsewhere, where prey type and size are believed to be the main mechanisms of dietary segregation.</t>
  </si>
  <si>
    <t>Bond, Alexander L/A-3786-2010</t>
  </si>
  <si>
    <t>10.1111/j.1469-7998.1997.tb03854.x</t>
  </si>
  <si>
    <t>XM704</t>
  </si>
  <si>
    <t>WOS:A1997XM70400010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</si>
</sst>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84</v>
      </c>
      <c r="AA2" t="s">
        <v>85</v>
      </c>
      <c r="AB2" t="s">
        <v>86</v>
      </c>
      <c r="AC2" t="s">
        <v>74</v>
      </c>
      <c r="AD2" t="s">
        <v>74</v>
      </c>
      <c r="AE2" t="s">
        <v>74</v>
      </c>
      <c r="AF2" t="s">
        <v>74</v>
      </c>
      <c r="AG2">
        <v>66</v>
      </c>
      <c r="AH2">
        <v>39</v>
      </c>
      <c r="AI2">
        <v>39</v>
      </c>
      <c r="AJ2">
        <v>0</v>
      </c>
      <c r="AK2">
        <v>3</v>
      </c>
      <c r="AL2" t="s">
        <v>87</v>
      </c>
      <c r="AM2" t="s">
        <v>88</v>
      </c>
      <c r="AN2" t="s">
        <v>89</v>
      </c>
      <c r="AO2" t="s">
        <v>90</v>
      </c>
      <c r="AP2" t="s">
        <v>91</v>
      </c>
      <c r="AQ2" t="s">
        <v>74</v>
      </c>
      <c r="AR2" t="s">
        <v>92</v>
      </c>
      <c r="AS2" t="s">
        <v>93</v>
      </c>
      <c r="AT2" t="s">
        <v>94</v>
      </c>
      <c r="AU2">
        <v>1998</v>
      </c>
      <c r="AV2">
        <v>103</v>
      </c>
      <c r="AW2" t="s">
        <v>95</v>
      </c>
      <c r="AX2" t="s">
        <v>74</v>
      </c>
      <c r="AY2" t="s">
        <v>74</v>
      </c>
      <c r="AZ2" t="s">
        <v>74</v>
      </c>
      <c r="BA2" t="s">
        <v>74</v>
      </c>
      <c r="BB2">
        <v>5577</v>
      </c>
      <c r="BC2">
        <v>5593</v>
      </c>
      <c r="BD2" t="s">
        <v>74</v>
      </c>
      <c r="BE2" t="s">
        <v>96</v>
      </c>
      <c r="BF2" t="str">
        <f>HYPERLINK("http://dx.doi.org/10.1029/97JC02680","http://dx.doi.org/10.1029/97JC02680")</f>
        <v>http://dx.doi.org/10.1029/97JC02680</v>
      </c>
      <c r="BG2" t="s">
        <v>74</v>
      </c>
      <c r="BH2" t="s">
        <v>74</v>
      </c>
      <c r="BI2">
        <v>17</v>
      </c>
      <c r="BJ2" t="s">
        <v>97</v>
      </c>
      <c r="BK2" t="s">
        <v>98</v>
      </c>
      <c r="BL2" t="s">
        <v>97</v>
      </c>
      <c r="BM2" t="s">
        <v>99</v>
      </c>
      <c r="BN2" t="s">
        <v>74</v>
      </c>
      <c r="BO2" t="s">
        <v>100</v>
      </c>
      <c r="BP2" t="s">
        <v>74</v>
      </c>
      <c r="BQ2" t="s">
        <v>74</v>
      </c>
      <c r="BR2" t="s">
        <v>101</v>
      </c>
      <c r="BS2" t="s">
        <v>102</v>
      </c>
      <c r="BT2" t="str">
        <f>HYPERLINK("https%3A%2F%2Fwww.webofscience.com%2Fwos%2Fwoscc%2Ffull-record%2FWOS:000072525300016","View Full Record in Web of Science")</f>
        <v>View Full Record in Web of Science</v>
      </c>
    </row>
    <row r="3" spans="1:72" x14ac:dyDescent="0.15">
      <c r="A3" t="s">
        <v>72</v>
      </c>
      <c r="B3" t="s">
        <v>103</v>
      </c>
      <c r="C3" t="s">
        <v>74</v>
      </c>
      <c r="D3" t="s">
        <v>74</v>
      </c>
      <c r="E3" t="s">
        <v>74</v>
      </c>
      <c r="F3" t="s">
        <v>103</v>
      </c>
      <c r="G3" t="s">
        <v>74</v>
      </c>
      <c r="H3" t="s">
        <v>74</v>
      </c>
      <c r="I3" t="s">
        <v>104</v>
      </c>
      <c r="J3" t="s">
        <v>105</v>
      </c>
      <c r="K3" t="s">
        <v>74</v>
      </c>
      <c r="L3" t="s">
        <v>74</v>
      </c>
      <c r="M3" t="s">
        <v>77</v>
      </c>
      <c r="N3" t="s">
        <v>78</v>
      </c>
      <c r="O3" t="s">
        <v>74</v>
      </c>
      <c r="P3" t="s">
        <v>74</v>
      </c>
      <c r="Q3" t="s">
        <v>74</v>
      </c>
      <c r="R3" t="s">
        <v>74</v>
      </c>
      <c r="S3" t="s">
        <v>74</v>
      </c>
      <c r="T3" t="s">
        <v>106</v>
      </c>
      <c r="U3" t="s">
        <v>107</v>
      </c>
      <c r="V3" t="s">
        <v>108</v>
      </c>
      <c r="W3" t="s">
        <v>109</v>
      </c>
      <c r="X3" t="s">
        <v>110</v>
      </c>
      <c r="Y3" t="s">
        <v>111</v>
      </c>
      <c r="Z3" t="s">
        <v>112</v>
      </c>
      <c r="AA3" t="s">
        <v>113</v>
      </c>
      <c r="AB3" t="s">
        <v>74</v>
      </c>
      <c r="AC3" t="s">
        <v>74</v>
      </c>
      <c r="AD3" t="s">
        <v>74</v>
      </c>
      <c r="AE3" t="s">
        <v>74</v>
      </c>
      <c r="AF3" t="s">
        <v>74</v>
      </c>
      <c r="AG3">
        <v>49</v>
      </c>
      <c r="AH3">
        <v>239</v>
      </c>
      <c r="AI3">
        <v>274</v>
      </c>
      <c r="AJ3">
        <v>1</v>
      </c>
      <c r="AK3">
        <v>25</v>
      </c>
      <c r="AL3" t="s">
        <v>114</v>
      </c>
      <c r="AM3" t="s">
        <v>115</v>
      </c>
      <c r="AN3" t="s">
        <v>116</v>
      </c>
      <c r="AO3" t="s">
        <v>117</v>
      </c>
      <c r="AP3" t="s">
        <v>118</v>
      </c>
      <c r="AQ3" t="s">
        <v>74</v>
      </c>
      <c r="AR3" t="s">
        <v>105</v>
      </c>
      <c r="AS3" t="s">
        <v>119</v>
      </c>
      <c r="AT3" t="s">
        <v>94</v>
      </c>
      <c r="AU3">
        <v>1998</v>
      </c>
      <c r="AV3">
        <v>6</v>
      </c>
      <c r="AW3">
        <v>3</v>
      </c>
      <c r="AX3" t="s">
        <v>74</v>
      </c>
      <c r="AY3" t="s">
        <v>74</v>
      </c>
      <c r="AZ3" t="s">
        <v>74</v>
      </c>
      <c r="BA3" t="s">
        <v>74</v>
      </c>
      <c r="BB3">
        <v>351</v>
      </c>
      <c r="BC3">
        <v>361</v>
      </c>
      <c r="BD3" t="s">
        <v>74</v>
      </c>
      <c r="BE3" t="s">
        <v>120</v>
      </c>
      <c r="BF3" t="str">
        <f>HYPERLINK("http://dx.doi.org/10.1016/S0969-2126(98)00037-9","http://dx.doi.org/10.1016/S0969-2126(98)00037-9")</f>
        <v>http://dx.doi.org/10.1016/S0969-2126(98)00037-9</v>
      </c>
      <c r="BG3" t="s">
        <v>74</v>
      </c>
      <c r="BH3" t="s">
        <v>74</v>
      </c>
      <c r="BI3">
        <v>11</v>
      </c>
      <c r="BJ3" t="s">
        <v>121</v>
      </c>
      <c r="BK3" t="s">
        <v>98</v>
      </c>
      <c r="BL3" t="s">
        <v>121</v>
      </c>
      <c r="BM3" t="s">
        <v>122</v>
      </c>
      <c r="BN3">
        <v>9551556</v>
      </c>
      <c r="BO3" t="s">
        <v>123</v>
      </c>
      <c r="BP3" t="s">
        <v>74</v>
      </c>
      <c r="BQ3" t="s">
        <v>74</v>
      </c>
      <c r="BR3" t="s">
        <v>101</v>
      </c>
      <c r="BS3" t="s">
        <v>124</v>
      </c>
      <c r="BT3" t="str">
        <f>HYPERLINK("https%3A%2F%2Fwww.webofscience.com%2Fwos%2Fwoscc%2Ffull-record%2FWOS:000072945500011","View Full Record in Web of Science")</f>
        <v>View Full Record in Web of Science</v>
      </c>
    </row>
    <row r="4" spans="1:72" x14ac:dyDescent="0.15">
      <c r="A4" t="s">
        <v>72</v>
      </c>
      <c r="B4" t="s">
        <v>125</v>
      </c>
      <c r="C4" t="s">
        <v>74</v>
      </c>
      <c r="D4" t="s">
        <v>74</v>
      </c>
      <c r="E4" t="s">
        <v>74</v>
      </c>
      <c r="F4" t="s">
        <v>125</v>
      </c>
      <c r="G4" t="s">
        <v>74</v>
      </c>
      <c r="H4" t="s">
        <v>74</v>
      </c>
      <c r="I4" t="s">
        <v>126</v>
      </c>
      <c r="J4" t="s">
        <v>127</v>
      </c>
      <c r="K4" t="s">
        <v>74</v>
      </c>
      <c r="L4" t="s">
        <v>74</v>
      </c>
      <c r="M4" t="s">
        <v>77</v>
      </c>
      <c r="N4" t="s">
        <v>78</v>
      </c>
      <c r="O4" t="s">
        <v>74</v>
      </c>
      <c r="P4" t="s">
        <v>74</v>
      </c>
      <c r="Q4" t="s">
        <v>74</v>
      </c>
      <c r="R4" t="s">
        <v>74</v>
      </c>
      <c r="S4" t="s">
        <v>74</v>
      </c>
      <c r="T4" t="s">
        <v>74</v>
      </c>
      <c r="U4" t="s">
        <v>128</v>
      </c>
      <c r="V4" t="s">
        <v>129</v>
      </c>
      <c r="W4" t="s">
        <v>130</v>
      </c>
      <c r="X4" t="s">
        <v>131</v>
      </c>
      <c r="Y4" t="s">
        <v>132</v>
      </c>
      <c r="Z4" t="s">
        <v>133</v>
      </c>
      <c r="AA4" t="s">
        <v>134</v>
      </c>
      <c r="AB4" t="s">
        <v>135</v>
      </c>
      <c r="AC4" t="s">
        <v>74</v>
      </c>
      <c r="AD4" t="s">
        <v>74</v>
      </c>
      <c r="AE4" t="s">
        <v>74</v>
      </c>
      <c r="AF4" t="s">
        <v>74</v>
      </c>
      <c r="AG4">
        <v>95</v>
      </c>
      <c r="AH4">
        <v>91</v>
      </c>
      <c r="AI4">
        <v>100</v>
      </c>
      <c r="AJ4">
        <v>0</v>
      </c>
      <c r="AK4">
        <v>4</v>
      </c>
      <c r="AL4" t="s">
        <v>87</v>
      </c>
      <c r="AM4" t="s">
        <v>88</v>
      </c>
      <c r="AN4" t="s">
        <v>89</v>
      </c>
      <c r="AO4" t="s">
        <v>136</v>
      </c>
      <c r="AP4" t="s">
        <v>137</v>
      </c>
      <c r="AQ4" t="s">
        <v>74</v>
      </c>
      <c r="AR4" t="s">
        <v>138</v>
      </c>
      <c r="AS4" t="s">
        <v>139</v>
      </c>
      <c r="AT4" t="s">
        <v>140</v>
      </c>
      <c r="AU4">
        <v>1998</v>
      </c>
      <c r="AV4">
        <v>103</v>
      </c>
      <c r="AW4" t="s">
        <v>141</v>
      </c>
      <c r="AX4" t="s">
        <v>74</v>
      </c>
      <c r="AY4" t="s">
        <v>74</v>
      </c>
      <c r="AZ4" t="s">
        <v>74</v>
      </c>
      <c r="BA4" t="s">
        <v>74</v>
      </c>
      <c r="BB4">
        <v>4993</v>
      </c>
      <c r="BC4">
        <v>5017</v>
      </c>
      <c r="BD4" t="s">
        <v>74</v>
      </c>
      <c r="BE4" t="s">
        <v>142</v>
      </c>
      <c r="BF4" t="str">
        <f>HYPERLINK("http://dx.doi.org/10.1029/97JB03539","http://dx.doi.org/10.1029/97JB03539")</f>
        <v>http://dx.doi.org/10.1029/97JB03539</v>
      </c>
      <c r="BG4" t="s">
        <v>74</v>
      </c>
      <c r="BH4" t="s">
        <v>74</v>
      </c>
      <c r="BI4">
        <v>25</v>
      </c>
      <c r="BJ4" t="s">
        <v>143</v>
      </c>
      <c r="BK4" t="s">
        <v>98</v>
      </c>
      <c r="BL4" t="s">
        <v>143</v>
      </c>
      <c r="BM4" t="s">
        <v>144</v>
      </c>
      <c r="BN4" t="s">
        <v>74</v>
      </c>
      <c r="BO4" t="s">
        <v>100</v>
      </c>
      <c r="BP4" t="s">
        <v>74</v>
      </c>
      <c r="BQ4" t="s">
        <v>74</v>
      </c>
      <c r="BR4" t="s">
        <v>101</v>
      </c>
      <c r="BS4" t="s">
        <v>145</v>
      </c>
      <c r="BT4" t="str">
        <f>HYPERLINK("https%3A%2F%2Fwww.webofscience.com%2Fwos%2Fwoscc%2Ffull-record%2FWOS:000072466700009","View Full Record in Web of Science")</f>
        <v>View Full Record in Web of Science</v>
      </c>
    </row>
    <row r="5" spans="1:72" x14ac:dyDescent="0.15">
      <c r="A5" t="s">
        <v>72</v>
      </c>
      <c r="B5" t="s">
        <v>146</v>
      </c>
      <c r="C5" t="s">
        <v>74</v>
      </c>
      <c r="D5" t="s">
        <v>74</v>
      </c>
      <c r="E5" t="s">
        <v>74</v>
      </c>
      <c r="F5" t="s">
        <v>146</v>
      </c>
      <c r="G5" t="s">
        <v>74</v>
      </c>
      <c r="H5" t="s">
        <v>74</v>
      </c>
      <c r="I5" t="s">
        <v>147</v>
      </c>
      <c r="J5" t="s">
        <v>127</v>
      </c>
      <c r="K5" t="s">
        <v>74</v>
      </c>
      <c r="L5" t="s">
        <v>74</v>
      </c>
      <c r="M5" t="s">
        <v>77</v>
      </c>
      <c r="N5" t="s">
        <v>78</v>
      </c>
      <c r="O5" t="s">
        <v>74</v>
      </c>
      <c r="P5" t="s">
        <v>74</v>
      </c>
      <c r="Q5" t="s">
        <v>74</v>
      </c>
      <c r="R5" t="s">
        <v>74</v>
      </c>
      <c r="S5" t="s">
        <v>74</v>
      </c>
      <c r="T5" t="s">
        <v>74</v>
      </c>
      <c r="U5" t="s">
        <v>148</v>
      </c>
      <c r="V5" t="s">
        <v>149</v>
      </c>
      <c r="W5" t="s">
        <v>150</v>
      </c>
      <c r="X5" t="s">
        <v>151</v>
      </c>
      <c r="Y5" t="s">
        <v>152</v>
      </c>
      <c r="Z5" t="s">
        <v>153</v>
      </c>
      <c r="AA5" t="s">
        <v>154</v>
      </c>
      <c r="AB5" t="s">
        <v>155</v>
      </c>
      <c r="AC5" t="s">
        <v>74</v>
      </c>
      <c r="AD5" t="s">
        <v>74</v>
      </c>
      <c r="AE5" t="s">
        <v>74</v>
      </c>
      <c r="AF5" t="s">
        <v>74</v>
      </c>
      <c r="AG5">
        <v>57</v>
      </c>
      <c r="AH5">
        <v>117</v>
      </c>
      <c r="AI5">
        <v>126</v>
      </c>
      <c r="AJ5">
        <v>0</v>
      </c>
      <c r="AK5">
        <v>16</v>
      </c>
      <c r="AL5" t="s">
        <v>87</v>
      </c>
      <c r="AM5" t="s">
        <v>88</v>
      </c>
      <c r="AN5" t="s">
        <v>89</v>
      </c>
      <c r="AO5" t="s">
        <v>136</v>
      </c>
      <c r="AP5" t="s">
        <v>137</v>
      </c>
      <c r="AQ5" t="s">
        <v>74</v>
      </c>
      <c r="AR5" t="s">
        <v>138</v>
      </c>
      <c r="AS5" t="s">
        <v>139</v>
      </c>
      <c r="AT5" t="s">
        <v>140</v>
      </c>
      <c r="AU5">
        <v>1998</v>
      </c>
      <c r="AV5">
        <v>103</v>
      </c>
      <c r="AW5" t="s">
        <v>141</v>
      </c>
      <c r="AX5" t="s">
        <v>74</v>
      </c>
      <c r="AY5" t="s">
        <v>74</v>
      </c>
      <c r="AZ5" t="s">
        <v>74</v>
      </c>
      <c r="BA5" t="s">
        <v>74</v>
      </c>
      <c r="BB5">
        <v>5091</v>
      </c>
      <c r="BC5">
        <v>5105</v>
      </c>
      <c r="BD5" t="s">
        <v>74</v>
      </c>
      <c r="BE5" t="s">
        <v>156</v>
      </c>
      <c r="BF5" t="str">
        <f>HYPERLINK("http://dx.doi.org/10.1029/97JB02621","http://dx.doi.org/10.1029/97JB02621")</f>
        <v>http://dx.doi.org/10.1029/97JB02621</v>
      </c>
      <c r="BG5" t="s">
        <v>74</v>
      </c>
      <c r="BH5" t="s">
        <v>74</v>
      </c>
      <c r="BI5">
        <v>15</v>
      </c>
      <c r="BJ5" t="s">
        <v>143</v>
      </c>
      <c r="BK5" t="s">
        <v>98</v>
      </c>
      <c r="BL5" t="s">
        <v>143</v>
      </c>
      <c r="BM5" t="s">
        <v>144</v>
      </c>
      <c r="BN5" t="s">
        <v>74</v>
      </c>
      <c r="BO5" t="s">
        <v>100</v>
      </c>
      <c r="BP5" t="s">
        <v>74</v>
      </c>
      <c r="BQ5" t="s">
        <v>74</v>
      </c>
      <c r="BR5" t="s">
        <v>101</v>
      </c>
      <c r="BS5" t="s">
        <v>157</v>
      </c>
      <c r="BT5" t="str">
        <f>HYPERLINK("https%3A%2F%2Fwww.webofscience.com%2Fwos%2Fwoscc%2Ffull-record%2FWOS:000072466700014","View Full Record in Web of Science")</f>
        <v>View Full Record in Web of Science</v>
      </c>
    </row>
    <row r="6" spans="1:72" x14ac:dyDescent="0.15">
      <c r="A6" t="s">
        <v>72</v>
      </c>
      <c r="B6" t="s">
        <v>158</v>
      </c>
      <c r="C6" t="s">
        <v>74</v>
      </c>
      <c r="D6" t="s">
        <v>74</v>
      </c>
      <c r="E6" t="s">
        <v>74</v>
      </c>
      <c r="F6" t="s">
        <v>158</v>
      </c>
      <c r="G6" t="s">
        <v>74</v>
      </c>
      <c r="H6" t="s">
        <v>74</v>
      </c>
      <c r="I6" t="s">
        <v>159</v>
      </c>
      <c r="J6" t="s">
        <v>127</v>
      </c>
      <c r="K6" t="s">
        <v>74</v>
      </c>
      <c r="L6" t="s">
        <v>74</v>
      </c>
      <c r="M6" t="s">
        <v>77</v>
      </c>
      <c r="N6" t="s">
        <v>78</v>
      </c>
      <c r="O6" t="s">
        <v>74</v>
      </c>
      <c r="P6" t="s">
        <v>74</v>
      </c>
      <c r="Q6" t="s">
        <v>74</v>
      </c>
      <c r="R6" t="s">
        <v>74</v>
      </c>
      <c r="S6" t="s">
        <v>74</v>
      </c>
      <c r="T6" t="s">
        <v>74</v>
      </c>
      <c r="U6" t="s">
        <v>160</v>
      </c>
      <c r="V6" t="s">
        <v>161</v>
      </c>
      <c r="W6" t="s">
        <v>162</v>
      </c>
      <c r="X6" t="s">
        <v>163</v>
      </c>
      <c r="Y6" t="s">
        <v>164</v>
      </c>
      <c r="Z6" t="s">
        <v>165</v>
      </c>
      <c r="AA6" t="s">
        <v>74</v>
      </c>
      <c r="AB6" t="s">
        <v>74</v>
      </c>
      <c r="AC6" t="s">
        <v>74</v>
      </c>
      <c r="AD6" t="s">
        <v>74</v>
      </c>
      <c r="AE6" t="s">
        <v>74</v>
      </c>
      <c r="AF6" t="s">
        <v>74</v>
      </c>
      <c r="AG6">
        <v>57</v>
      </c>
      <c r="AH6">
        <v>18</v>
      </c>
      <c r="AI6">
        <v>21</v>
      </c>
      <c r="AJ6">
        <v>0</v>
      </c>
      <c r="AK6">
        <v>7</v>
      </c>
      <c r="AL6" t="s">
        <v>87</v>
      </c>
      <c r="AM6" t="s">
        <v>88</v>
      </c>
      <c r="AN6" t="s">
        <v>89</v>
      </c>
      <c r="AO6" t="s">
        <v>136</v>
      </c>
      <c r="AP6" t="s">
        <v>137</v>
      </c>
      <c r="AQ6" t="s">
        <v>74</v>
      </c>
      <c r="AR6" t="s">
        <v>138</v>
      </c>
      <c r="AS6" t="s">
        <v>139</v>
      </c>
      <c r="AT6" t="s">
        <v>140</v>
      </c>
      <c r="AU6">
        <v>1998</v>
      </c>
      <c r="AV6">
        <v>103</v>
      </c>
      <c r="AW6" t="s">
        <v>141</v>
      </c>
      <c r="AX6" t="s">
        <v>74</v>
      </c>
      <c r="AY6" t="s">
        <v>74</v>
      </c>
      <c r="AZ6" t="s">
        <v>74</v>
      </c>
      <c r="BA6" t="s">
        <v>74</v>
      </c>
      <c r="BB6">
        <v>5203</v>
      </c>
      <c r="BC6">
        <v>5223</v>
      </c>
      <c r="BD6" t="s">
        <v>74</v>
      </c>
      <c r="BE6" t="s">
        <v>166</v>
      </c>
      <c r="BF6" t="str">
        <f>HYPERLINK("http://dx.doi.org/10.1029/97JB03110","http://dx.doi.org/10.1029/97JB03110")</f>
        <v>http://dx.doi.org/10.1029/97JB03110</v>
      </c>
      <c r="BG6" t="s">
        <v>74</v>
      </c>
      <c r="BH6" t="s">
        <v>74</v>
      </c>
      <c r="BI6">
        <v>21</v>
      </c>
      <c r="BJ6" t="s">
        <v>143</v>
      </c>
      <c r="BK6" t="s">
        <v>98</v>
      </c>
      <c r="BL6" t="s">
        <v>143</v>
      </c>
      <c r="BM6" t="s">
        <v>144</v>
      </c>
      <c r="BN6" t="s">
        <v>74</v>
      </c>
      <c r="BO6" t="s">
        <v>100</v>
      </c>
      <c r="BP6" t="s">
        <v>74</v>
      </c>
      <c r="BQ6" t="s">
        <v>74</v>
      </c>
      <c r="BR6" t="s">
        <v>101</v>
      </c>
      <c r="BS6" t="s">
        <v>167</v>
      </c>
      <c r="BT6" t="str">
        <f>HYPERLINK("https%3A%2F%2Fwww.webofscience.com%2Fwos%2Fwoscc%2Ffull-record%2FWOS:000072466700021","View Full Record in Web of Science")</f>
        <v>View Full Record in Web of Science</v>
      </c>
    </row>
    <row r="7" spans="1:72" x14ac:dyDescent="0.15">
      <c r="A7" t="s">
        <v>72</v>
      </c>
      <c r="B7" t="s">
        <v>168</v>
      </c>
      <c r="C7" t="s">
        <v>74</v>
      </c>
      <c r="D7" t="s">
        <v>74</v>
      </c>
      <c r="E7" t="s">
        <v>74</v>
      </c>
      <c r="F7" t="s">
        <v>168</v>
      </c>
      <c r="G7" t="s">
        <v>74</v>
      </c>
      <c r="H7" t="s">
        <v>74</v>
      </c>
      <c r="I7" t="s">
        <v>169</v>
      </c>
      <c r="J7" t="s">
        <v>170</v>
      </c>
      <c r="K7" t="s">
        <v>74</v>
      </c>
      <c r="L7" t="s">
        <v>74</v>
      </c>
      <c r="M7" t="s">
        <v>77</v>
      </c>
      <c r="N7" t="s">
        <v>78</v>
      </c>
      <c r="O7" t="s">
        <v>74</v>
      </c>
      <c r="P7" t="s">
        <v>74</v>
      </c>
      <c r="Q7" t="s">
        <v>74</v>
      </c>
      <c r="R7" t="s">
        <v>74</v>
      </c>
      <c r="S7" t="s">
        <v>74</v>
      </c>
      <c r="T7" t="s">
        <v>74</v>
      </c>
      <c r="U7" t="s">
        <v>171</v>
      </c>
      <c r="V7" t="s">
        <v>172</v>
      </c>
      <c r="W7" t="s">
        <v>173</v>
      </c>
      <c r="X7" t="s">
        <v>174</v>
      </c>
      <c r="Y7" t="s">
        <v>175</v>
      </c>
      <c r="Z7" t="s">
        <v>176</v>
      </c>
      <c r="AA7" t="s">
        <v>177</v>
      </c>
      <c r="AB7" t="s">
        <v>178</v>
      </c>
      <c r="AC7" t="s">
        <v>74</v>
      </c>
      <c r="AD7" t="s">
        <v>74</v>
      </c>
      <c r="AE7" t="s">
        <v>74</v>
      </c>
      <c r="AF7" t="s">
        <v>74</v>
      </c>
      <c r="AG7">
        <v>38</v>
      </c>
      <c r="AH7">
        <v>185</v>
      </c>
      <c r="AI7">
        <v>201</v>
      </c>
      <c r="AJ7">
        <v>2</v>
      </c>
      <c r="AK7">
        <v>17</v>
      </c>
      <c r="AL7" t="s">
        <v>179</v>
      </c>
      <c r="AM7" t="s">
        <v>88</v>
      </c>
      <c r="AN7" t="s">
        <v>180</v>
      </c>
      <c r="AO7" t="s">
        <v>181</v>
      </c>
      <c r="AP7" t="s">
        <v>182</v>
      </c>
      <c r="AQ7" t="s">
        <v>74</v>
      </c>
      <c r="AR7" t="s">
        <v>170</v>
      </c>
      <c r="AS7" t="s">
        <v>183</v>
      </c>
      <c r="AT7" t="s">
        <v>184</v>
      </c>
      <c r="AU7">
        <v>1998</v>
      </c>
      <c r="AV7">
        <v>279</v>
      </c>
      <c r="AW7">
        <v>5356</v>
      </c>
      <c r="AX7" t="s">
        <v>74</v>
      </c>
      <c r="AY7" t="s">
        <v>74</v>
      </c>
      <c r="AZ7" t="s">
        <v>74</v>
      </c>
      <c r="BA7" t="s">
        <v>74</v>
      </c>
      <c r="BB7">
        <v>1499</v>
      </c>
      <c r="BC7">
        <v>1504</v>
      </c>
      <c r="BD7" t="s">
        <v>74</v>
      </c>
      <c r="BE7" t="s">
        <v>185</v>
      </c>
      <c r="BF7" t="str">
        <f>HYPERLINK("http://dx.doi.org/10.1126/science.279.5356.1499","http://dx.doi.org/10.1126/science.279.5356.1499")</f>
        <v>http://dx.doi.org/10.1126/science.279.5356.1499</v>
      </c>
      <c r="BG7" t="s">
        <v>74</v>
      </c>
      <c r="BH7" t="s">
        <v>74</v>
      </c>
      <c r="BI7">
        <v>6</v>
      </c>
      <c r="BJ7" t="s">
        <v>186</v>
      </c>
      <c r="BK7" t="s">
        <v>98</v>
      </c>
      <c r="BL7" t="s">
        <v>187</v>
      </c>
      <c r="BM7" t="s">
        <v>188</v>
      </c>
      <c r="BN7">
        <v>9488643</v>
      </c>
      <c r="BO7" t="s">
        <v>74</v>
      </c>
      <c r="BP7" t="s">
        <v>74</v>
      </c>
      <c r="BQ7" t="s">
        <v>74</v>
      </c>
      <c r="BR7" t="s">
        <v>101</v>
      </c>
      <c r="BS7" t="s">
        <v>189</v>
      </c>
      <c r="BT7" t="str">
        <f>HYPERLINK("https%3A%2F%2Fwww.webofscience.com%2Fwos%2Fwoscc%2Ffull-record%2FWOS:000072372900056","View Full Record in Web of Science")</f>
        <v>View Full Record in Web of Science</v>
      </c>
    </row>
    <row r="8" spans="1:72" x14ac:dyDescent="0.15">
      <c r="A8" t="s">
        <v>72</v>
      </c>
      <c r="B8" t="s">
        <v>190</v>
      </c>
      <c r="C8" t="s">
        <v>74</v>
      </c>
      <c r="D8" t="s">
        <v>74</v>
      </c>
      <c r="E8" t="s">
        <v>74</v>
      </c>
      <c r="F8" t="s">
        <v>190</v>
      </c>
      <c r="G8" t="s">
        <v>74</v>
      </c>
      <c r="H8" t="s">
        <v>74</v>
      </c>
      <c r="I8" t="s">
        <v>191</v>
      </c>
      <c r="J8" t="s">
        <v>192</v>
      </c>
      <c r="K8" t="s">
        <v>74</v>
      </c>
      <c r="L8" t="s">
        <v>74</v>
      </c>
      <c r="M8" t="s">
        <v>77</v>
      </c>
      <c r="N8" t="s">
        <v>78</v>
      </c>
      <c r="O8" t="s">
        <v>74</v>
      </c>
      <c r="P8" t="s">
        <v>74</v>
      </c>
      <c r="Q8" t="s">
        <v>74</v>
      </c>
      <c r="R8" t="s">
        <v>74</v>
      </c>
      <c r="S8" t="s">
        <v>74</v>
      </c>
      <c r="T8" t="s">
        <v>74</v>
      </c>
      <c r="U8" t="s">
        <v>193</v>
      </c>
      <c r="V8" t="s">
        <v>194</v>
      </c>
      <c r="W8" t="s">
        <v>195</v>
      </c>
      <c r="X8" t="s">
        <v>196</v>
      </c>
      <c r="Y8" t="s">
        <v>197</v>
      </c>
      <c r="Z8" t="s">
        <v>74</v>
      </c>
      <c r="AA8" t="s">
        <v>198</v>
      </c>
      <c r="AB8" t="s">
        <v>199</v>
      </c>
      <c r="AC8" t="s">
        <v>74</v>
      </c>
      <c r="AD8" t="s">
        <v>74</v>
      </c>
      <c r="AE8" t="s">
        <v>74</v>
      </c>
      <c r="AF8" t="s">
        <v>74</v>
      </c>
      <c r="AG8">
        <v>29</v>
      </c>
      <c r="AH8">
        <v>95</v>
      </c>
      <c r="AI8">
        <v>108</v>
      </c>
      <c r="AJ8">
        <v>2</v>
      </c>
      <c r="AK8">
        <v>29</v>
      </c>
      <c r="AL8" t="s">
        <v>200</v>
      </c>
      <c r="AM8" t="s">
        <v>201</v>
      </c>
      <c r="AN8" t="s">
        <v>202</v>
      </c>
      <c r="AO8" t="s">
        <v>203</v>
      </c>
      <c r="AP8" t="s">
        <v>74</v>
      </c>
      <c r="AQ8" t="s">
        <v>74</v>
      </c>
      <c r="AR8" t="s">
        <v>192</v>
      </c>
      <c r="AS8" t="s">
        <v>204</v>
      </c>
      <c r="AT8" t="s">
        <v>205</v>
      </c>
      <c r="AU8">
        <v>1998</v>
      </c>
      <c r="AV8">
        <v>392</v>
      </c>
      <c r="AW8">
        <v>6671</v>
      </c>
      <c r="AX8" t="s">
        <v>74</v>
      </c>
      <c r="AY8" t="s">
        <v>74</v>
      </c>
      <c r="AZ8" t="s">
        <v>74</v>
      </c>
      <c r="BA8" t="s">
        <v>74</v>
      </c>
      <c r="BB8">
        <v>59</v>
      </c>
      <c r="BC8">
        <v>62</v>
      </c>
      <c r="BD8" t="s">
        <v>74</v>
      </c>
      <c r="BE8" t="s">
        <v>206</v>
      </c>
      <c r="BF8" t="str">
        <f>HYPERLINK("http://dx.doi.org/10.1038/32133","http://dx.doi.org/10.1038/32133")</f>
        <v>http://dx.doi.org/10.1038/32133</v>
      </c>
      <c r="BG8" t="s">
        <v>74</v>
      </c>
      <c r="BH8" t="s">
        <v>74</v>
      </c>
      <c r="BI8">
        <v>4</v>
      </c>
      <c r="BJ8" t="s">
        <v>186</v>
      </c>
      <c r="BK8" t="s">
        <v>98</v>
      </c>
      <c r="BL8" t="s">
        <v>187</v>
      </c>
      <c r="BM8" t="s">
        <v>207</v>
      </c>
      <c r="BN8" t="s">
        <v>74</v>
      </c>
      <c r="BO8" t="s">
        <v>74</v>
      </c>
      <c r="BP8" t="s">
        <v>74</v>
      </c>
      <c r="BQ8" t="s">
        <v>74</v>
      </c>
      <c r="BR8" t="s">
        <v>101</v>
      </c>
      <c r="BS8" t="s">
        <v>208</v>
      </c>
      <c r="BT8" t="str">
        <f>HYPERLINK("https%3A%2F%2Fwww.webofscience.com%2Fwos%2Fwoscc%2Ffull-record%2FWOS:000072373000047","View Full Record in Web of Science")</f>
        <v>View Full Record in Web of Science</v>
      </c>
    </row>
    <row r="9" spans="1:72" x14ac:dyDescent="0.15">
      <c r="A9" t="s">
        <v>72</v>
      </c>
      <c r="B9" t="s">
        <v>209</v>
      </c>
      <c r="C9" t="s">
        <v>74</v>
      </c>
      <c r="D9" t="s">
        <v>74</v>
      </c>
      <c r="E9" t="s">
        <v>74</v>
      </c>
      <c r="F9" t="s">
        <v>209</v>
      </c>
      <c r="G9" t="s">
        <v>74</v>
      </c>
      <c r="H9" t="s">
        <v>74</v>
      </c>
      <c r="I9" t="s">
        <v>210</v>
      </c>
      <c r="J9" t="s">
        <v>211</v>
      </c>
      <c r="K9" t="s">
        <v>74</v>
      </c>
      <c r="L9" t="s">
        <v>74</v>
      </c>
      <c r="M9" t="s">
        <v>77</v>
      </c>
      <c r="N9" t="s">
        <v>212</v>
      </c>
      <c r="O9" t="s">
        <v>74</v>
      </c>
      <c r="P9" t="s">
        <v>74</v>
      </c>
      <c r="Q9" t="s">
        <v>74</v>
      </c>
      <c r="R9" t="s">
        <v>74</v>
      </c>
      <c r="S9" t="s">
        <v>74</v>
      </c>
      <c r="T9" t="s">
        <v>74</v>
      </c>
      <c r="U9" t="s">
        <v>74</v>
      </c>
      <c r="V9" t="s">
        <v>74</v>
      </c>
      <c r="W9" t="s">
        <v>74</v>
      </c>
      <c r="X9" t="s">
        <v>74</v>
      </c>
      <c r="Y9" t="s">
        <v>74</v>
      </c>
      <c r="Z9" t="s">
        <v>74</v>
      </c>
      <c r="AA9" t="s">
        <v>74</v>
      </c>
      <c r="AB9" t="s">
        <v>74</v>
      </c>
      <c r="AC9" t="s">
        <v>74</v>
      </c>
      <c r="AD9" t="s">
        <v>74</v>
      </c>
      <c r="AE9" t="s">
        <v>74</v>
      </c>
      <c r="AF9" t="s">
        <v>74</v>
      </c>
      <c r="AG9">
        <v>0</v>
      </c>
      <c r="AH9">
        <v>6</v>
      </c>
      <c r="AI9">
        <v>6</v>
      </c>
      <c r="AJ9">
        <v>0</v>
      </c>
      <c r="AK9">
        <v>0</v>
      </c>
      <c r="AL9" t="s">
        <v>213</v>
      </c>
      <c r="AM9" t="s">
        <v>214</v>
      </c>
      <c r="AN9" t="s">
        <v>215</v>
      </c>
      <c r="AO9" t="s">
        <v>216</v>
      </c>
      <c r="AP9" t="s">
        <v>74</v>
      </c>
      <c r="AQ9" t="s">
        <v>74</v>
      </c>
      <c r="AR9" t="s">
        <v>217</v>
      </c>
      <c r="AS9" t="s">
        <v>218</v>
      </c>
      <c r="AT9" t="s">
        <v>219</v>
      </c>
      <c r="AU9">
        <v>1998</v>
      </c>
      <c r="AV9">
        <v>10</v>
      </c>
      <c r="AW9">
        <v>1</v>
      </c>
      <c r="AX9" t="s">
        <v>74</v>
      </c>
      <c r="AY9" t="s">
        <v>74</v>
      </c>
      <c r="AZ9" t="s">
        <v>74</v>
      </c>
      <c r="BA9" t="s">
        <v>74</v>
      </c>
      <c r="BB9">
        <v>1</v>
      </c>
      <c r="BC9">
        <v>1</v>
      </c>
      <c r="BD9" t="s">
        <v>74</v>
      </c>
      <c r="BE9" t="s">
        <v>74</v>
      </c>
      <c r="BF9" t="s">
        <v>74</v>
      </c>
      <c r="BG9" t="s">
        <v>74</v>
      </c>
      <c r="BH9" t="s">
        <v>74</v>
      </c>
      <c r="BI9">
        <v>1</v>
      </c>
      <c r="BJ9" t="s">
        <v>220</v>
      </c>
      <c r="BK9" t="s">
        <v>98</v>
      </c>
      <c r="BL9" t="s">
        <v>221</v>
      </c>
      <c r="BM9" t="s">
        <v>222</v>
      </c>
      <c r="BN9" t="s">
        <v>74</v>
      </c>
      <c r="BO9" t="s">
        <v>74</v>
      </c>
      <c r="BP9" t="s">
        <v>74</v>
      </c>
      <c r="BQ9" t="s">
        <v>74</v>
      </c>
      <c r="BR9" t="s">
        <v>101</v>
      </c>
      <c r="BS9" t="s">
        <v>223</v>
      </c>
      <c r="BT9" t="str">
        <f>HYPERLINK("https%3A%2F%2Fwww.webofscience.com%2Fwos%2Fwoscc%2Ffull-record%2FWOS:000072760800001","View Full Record in Web of Science")</f>
        <v>View Full Record in Web of Science</v>
      </c>
    </row>
    <row r="10" spans="1:72" x14ac:dyDescent="0.15">
      <c r="A10" t="s">
        <v>72</v>
      </c>
      <c r="B10" t="s">
        <v>224</v>
      </c>
      <c r="C10" t="s">
        <v>74</v>
      </c>
      <c r="D10" t="s">
        <v>74</v>
      </c>
      <c r="E10" t="s">
        <v>74</v>
      </c>
      <c r="F10" t="s">
        <v>224</v>
      </c>
      <c r="G10" t="s">
        <v>74</v>
      </c>
      <c r="H10" t="s">
        <v>74</v>
      </c>
      <c r="I10" t="s">
        <v>225</v>
      </c>
      <c r="J10" t="s">
        <v>211</v>
      </c>
      <c r="K10" t="s">
        <v>74</v>
      </c>
      <c r="L10" t="s">
        <v>74</v>
      </c>
      <c r="M10" t="s">
        <v>77</v>
      </c>
      <c r="N10" t="s">
        <v>78</v>
      </c>
      <c r="O10" t="s">
        <v>74</v>
      </c>
      <c r="P10" t="s">
        <v>74</v>
      </c>
      <c r="Q10" t="s">
        <v>74</v>
      </c>
      <c r="R10" t="s">
        <v>74</v>
      </c>
      <c r="S10" t="s">
        <v>74</v>
      </c>
      <c r="T10" t="s">
        <v>226</v>
      </c>
      <c r="U10" t="s">
        <v>227</v>
      </c>
      <c r="V10" t="s">
        <v>228</v>
      </c>
      <c r="W10" t="s">
        <v>229</v>
      </c>
      <c r="X10" t="s">
        <v>230</v>
      </c>
      <c r="Y10" t="s">
        <v>231</v>
      </c>
      <c r="Z10" t="s">
        <v>74</v>
      </c>
      <c r="AA10" t="s">
        <v>232</v>
      </c>
      <c r="AB10" t="s">
        <v>74</v>
      </c>
      <c r="AC10" t="s">
        <v>74</v>
      </c>
      <c r="AD10" t="s">
        <v>74</v>
      </c>
      <c r="AE10" t="s">
        <v>74</v>
      </c>
      <c r="AF10" t="s">
        <v>74</v>
      </c>
      <c r="AG10">
        <v>37</v>
      </c>
      <c r="AH10">
        <v>33</v>
      </c>
      <c r="AI10">
        <v>35</v>
      </c>
      <c r="AJ10">
        <v>0</v>
      </c>
      <c r="AK10">
        <v>7</v>
      </c>
      <c r="AL10" t="s">
        <v>213</v>
      </c>
      <c r="AM10" t="s">
        <v>214</v>
      </c>
      <c r="AN10" t="s">
        <v>215</v>
      </c>
      <c r="AO10" t="s">
        <v>216</v>
      </c>
      <c r="AP10" t="s">
        <v>74</v>
      </c>
      <c r="AQ10" t="s">
        <v>74</v>
      </c>
      <c r="AR10" t="s">
        <v>217</v>
      </c>
      <c r="AS10" t="s">
        <v>218</v>
      </c>
      <c r="AT10" t="s">
        <v>219</v>
      </c>
      <c r="AU10">
        <v>1998</v>
      </c>
      <c r="AV10">
        <v>10</v>
      </c>
      <c r="AW10">
        <v>1</v>
      </c>
      <c r="AX10" t="s">
        <v>74</v>
      </c>
      <c r="AY10" t="s">
        <v>74</v>
      </c>
      <c r="AZ10" t="s">
        <v>74</v>
      </c>
      <c r="BA10" t="s">
        <v>74</v>
      </c>
      <c r="BB10">
        <v>3</v>
      </c>
      <c r="BC10">
        <v>11</v>
      </c>
      <c r="BD10" t="s">
        <v>74</v>
      </c>
      <c r="BE10" t="s">
        <v>233</v>
      </c>
      <c r="BF10" t="str">
        <f>HYPERLINK("http://dx.doi.org/10.1017/S0954102098000029","http://dx.doi.org/10.1017/S0954102098000029")</f>
        <v>http://dx.doi.org/10.1017/S0954102098000029</v>
      </c>
      <c r="BG10" t="s">
        <v>74</v>
      </c>
      <c r="BH10" t="s">
        <v>74</v>
      </c>
      <c r="BI10">
        <v>9</v>
      </c>
      <c r="BJ10" t="s">
        <v>220</v>
      </c>
      <c r="BK10" t="s">
        <v>98</v>
      </c>
      <c r="BL10" t="s">
        <v>221</v>
      </c>
      <c r="BM10" t="s">
        <v>222</v>
      </c>
      <c r="BN10" t="s">
        <v>74</v>
      </c>
      <c r="BO10" t="s">
        <v>74</v>
      </c>
      <c r="BP10" t="s">
        <v>74</v>
      </c>
      <c r="BQ10" t="s">
        <v>74</v>
      </c>
      <c r="BR10" t="s">
        <v>101</v>
      </c>
      <c r="BS10" t="s">
        <v>234</v>
      </c>
      <c r="BT10" t="str">
        <f>HYPERLINK("https%3A%2F%2Fwww.webofscience.com%2Fwos%2Fwoscc%2Ffull-record%2FWOS:000072760800002","View Full Record in Web of Science")</f>
        <v>View Full Record in Web of Science</v>
      </c>
    </row>
    <row r="11" spans="1:72" x14ac:dyDescent="0.15">
      <c r="A11" t="s">
        <v>72</v>
      </c>
      <c r="B11" t="s">
        <v>235</v>
      </c>
      <c r="C11" t="s">
        <v>74</v>
      </c>
      <c r="D11" t="s">
        <v>74</v>
      </c>
      <c r="E11" t="s">
        <v>74</v>
      </c>
      <c r="F11" t="s">
        <v>235</v>
      </c>
      <c r="G11" t="s">
        <v>74</v>
      </c>
      <c r="H11" t="s">
        <v>74</v>
      </c>
      <c r="I11" t="s">
        <v>236</v>
      </c>
      <c r="J11" t="s">
        <v>211</v>
      </c>
      <c r="K11" t="s">
        <v>74</v>
      </c>
      <c r="L11" t="s">
        <v>74</v>
      </c>
      <c r="M11" t="s">
        <v>77</v>
      </c>
      <c r="N11" t="s">
        <v>78</v>
      </c>
      <c r="O11" t="s">
        <v>74</v>
      </c>
      <c r="P11" t="s">
        <v>74</v>
      </c>
      <c r="Q11" t="s">
        <v>74</v>
      </c>
      <c r="R11" t="s">
        <v>74</v>
      </c>
      <c r="S11" t="s">
        <v>74</v>
      </c>
      <c r="T11" t="s">
        <v>237</v>
      </c>
      <c r="U11" t="s">
        <v>238</v>
      </c>
      <c r="V11" t="s">
        <v>239</v>
      </c>
      <c r="W11" t="s">
        <v>240</v>
      </c>
      <c r="X11" t="s">
        <v>241</v>
      </c>
      <c r="Y11" t="s">
        <v>242</v>
      </c>
      <c r="Z11" t="s">
        <v>74</v>
      </c>
      <c r="AA11" t="s">
        <v>74</v>
      </c>
      <c r="AB11" t="s">
        <v>74</v>
      </c>
      <c r="AC11" t="s">
        <v>74</v>
      </c>
      <c r="AD11" t="s">
        <v>74</v>
      </c>
      <c r="AE11" t="s">
        <v>74</v>
      </c>
      <c r="AF11" t="s">
        <v>74</v>
      </c>
      <c r="AG11">
        <v>27</v>
      </c>
      <c r="AH11">
        <v>30</v>
      </c>
      <c r="AI11">
        <v>31</v>
      </c>
      <c r="AJ11">
        <v>0</v>
      </c>
      <c r="AK11">
        <v>3</v>
      </c>
      <c r="AL11" t="s">
        <v>243</v>
      </c>
      <c r="AM11" t="s">
        <v>244</v>
      </c>
      <c r="AN11" t="s">
        <v>245</v>
      </c>
      <c r="AO11" t="s">
        <v>216</v>
      </c>
      <c r="AP11" t="s">
        <v>74</v>
      </c>
      <c r="AQ11" t="s">
        <v>74</v>
      </c>
      <c r="AR11" t="s">
        <v>217</v>
      </c>
      <c r="AS11" t="s">
        <v>218</v>
      </c>
      <c r="AT11" t="s">
        <v>219</v>
      </c>
      <c r="AU11">
        <v>1998</v>
      </c>
      <c r="AV11">
        <v>10</v>
      </c>
      <c r="AW11">
        <v>1</v>
      </c>
      <c r="AX11" t="s">
        <v>74</v>
      </c>
      <c r="AY11" t="s">
        <v>74</v>
      </c>
      <c r="AZ11" t="s">
        <v>74</v>
      </c>
      <c r="BA11" t="s">
        <v>74</v>
      </c>
      <c r="BB11">
        <v>13</v>
      </c>
      <c r="BC11">
        <v>20</v>
      </c>
      <c r="BD11" t="s">
        <v>74</v>
      </c>
      <c r="BE11" t="s">
        <v>246</v>
      </c>
      <c r="BF11" t="str">
        <f>HYPERLINK("http://dx.doi.org/10.1017/S0954102098000030","http://dx.doi.org/10.1017/S0954102098000030")</f>
        <v>http://dx.doi.org/10.1017/S0954102098000030</v>
      </c>
      <c r="BG11" t="s">
        <v>74</v>
      </c>
      <c r="BH11" t="s">
        <v>74</v>
      </c>
      <c r="BI11">
        <v>8</v>
      </c>
      <c r="BJ11" t="s">
        <v>220</v>
      </c>
      <c r="BK11" t="s">
        <v>98</v>
      </c>
      <c r="BL11" t="s">
        <v>221</v>
      </c>
      <c r="BM11" t="s">
        <v>222</v>
      </c>
      <c r="BN11" t="s">
        <v>74</v>
      </c>
      <c r="BO11" t="s">
        <v>74</v>
      </c>
      <c r="BP11" t="s">
        <v>74</v>
      </c>
      <c r="BQ11" t="s">
        <v>74</v>
      </c>
      <c r="BR11" t="s">
        <v>101</v>
      </c>
      <c r="BS11" t="s">
        <v>247</v>
      </c>
      <c r="BT11" t="str">
        <f>HYPERLINK("https%3A%2F%2Fwww.webofscience.com%2Fwos%2Fwoscc%2Ffull-record%2FWOS:000072760800003","View Full Record in Web of Science")</f>
        <v>View Full Record in Web of Science</v>
      </c>
    </row>
    <row r="12" spans="1:72" x14ac:dyDescent="0.15">
      <c r="A12" t="s">
        <v>72</v>
      </c>
      <c r="B12" t="s">
        <v>248</v>
      </c>
      <c r="C12" t="s">
        <v>74</v>
      </c>
      <c r="D12" t="s">
        <v>74</v>
      </c>
      <c r="E12" t="s">
        <v>74</v>
      </c>
      <c r="F12" t="s">
        <v>248</v>
      </c>
      <c r="G12" t="s">
        <v>74</v>
      </c>
      <c r="H12" t="s">
        <v>74</v>
      </c>
      <c r="I12" t="s">
        <v>249</v>
      </c>
      <c r="J12" t="s">
        <v>211</v>
      </c>
      <c r="K12" t="s">
        <v>74</v>
      </c>
      <c r="L12" t="s">
        <v>74</v>
      </c>
      <c r="M12" t="s">
        <v>77</v>
      </c>
      <c r="N12" t="s">
        <v>78</v>
      </c>
      <c r="O12" t="s">
        <v>74</v>
      </c>
      <c r="P12" t="s">
        <v>74</v>
      </c>
      <c r="Q12" t="s">
        <v>74</v>
      </c>
      <c r="R12" t="s">
        <v>74</v>
      </c>
      <c r="S12" t="s">
        <v>74</v>
      </c>
      <c r="T12" t="s">
        <v>250</v>
      </c>
      <c r="U12" t="s">
        <v>251</v>
      </c>
      <c r="V12" t="s">
        <v>252</v>
      </c>
      <c r="W12" t="s">
        <v>253</v>
      </c>
      <c r="X12" t="s">
        <v>254</v>
      </c>
      <c r="Y12" t="s">
        <v>255</v>
      </c>
      <c r="Z12" t="s">
        <v>74</v>
      </c>
      <c r="AA12" t="s">
        <v>256</v>
      </c>
      <c r="AB12" t="s">
        <v>74</v>
      </c>
      <c r="AC12" t="s">
        <v>74</v>
      </c>
      <c r="AD12" t="s">
        <v>74</v>
      </c>
      <c r="AE12" t="s">
        <v>74</v>
      </c>
      <c r="AF12" t="s">
        <v>74</v>
      </c>
      <c r="AG12">
        <v>44</v>
      </c>
      <c r="AH12">
        <v>70</v>
      </c>
      <c r="AI12">
        <v>78</v>
      </c>
      <c r="AJ12">
        <v>0</v>
      </c>
      <c r="AK12">
        <v>15</v>
      </c>
      <c r="AL12" t="s">
        <v>213</v>
      </c>
      <c r="AM12" t="s">
        <v>214</v>
      </c>
      <c r="AN12" t="s">
        <v>215</v>
      </c>
      <c r="AO12" t="s">
        <v>216</v>
      </c>
      <c r="AP12" t="s">
        <v>74</v>
      </c>
      <c r="AQ12" t="s">
        <v>74</v>
      </c>
      <c r="AR12" t="s">
        <v>217</v>
      </c>
      <c r="AS12" t="s">
        <v>218</v>
      </c>
      <c r="AT12" t="s">
        <v>219</v>
      </c>
      <c r="AU12">
        <v>1998</v>
      </c>
      <c r="AV12">
        <v>10</v>
      </c>
      <c r="AW12">
        <v>1</v>
      </c>
      <c r="AX12" t="s">
        <v>74</v>
      </c>
      <c r="AY12" t="s">
        <v>74</v>
      </c>
      <c r="AZ12" t="s">
        <v>74</v>
      </c>
      <c r="BA12" t="s">
        <v>74</v>
      </c>
      <c r="BB12">
        <v>21</v>
      </c>
      <c r="BC12">
        <v>30</v>
      </c>
      <c r="BD12" t="s">
        <v>74</v>
      </c>
      <c r="BE12" t="s">
        <v>257</v>
      </c>
      <c r="BF12" t="str">
        <f>HYPERLINK("http://dx.doi.org/10.1017/S0954102098000042","http://dx.doi.org/10.1017/S0954102098000042")</f>
        <v>http://dx.doi.org/10.1017/S0954102098000042</v>
      </c>
      <c r="BG12" t="s">
        <v>74</v>
      </c>
      <c r="BH12" t="s">
        <v>74</v>
      </c>
      <c r="BI12">
        <v>10</v>
      </c>
      <c r="BJ12" t="s">
        <v>220</v>
      </c>
      <c r="BK12" t="s">
        <v>98</v>
      </c>
      <c r="BL12" t="s">
        <v>221</v>
      </c>
      <c r="BM12" t="s">
        <v>222</v>
      </c>
      <c r="BN12" t="s">
        <v>74</v>
      </c>
      <c r="BO12" t="s">
        <v>74</v>
      </c>
      <c r="BP12" t="s">
        <v>74</v>
      </c>
      <c r="BQ12" t="s">
        <v>74</v>
      </c>
      <c r="BR12" t="s">
        <v>101</v>
      </c>
      <c r="BS12" t="s">
        <v>258</v>
      </c>
      <c r="BT12" t="str">
        <f>HYPERLINK("https%3A%2F%2Fwww.webofscience.com%2Fwos%2Fwoscc%2Ffull-record%2FWOS:000072760800004","View Full Record in Web of Science")</f>
        <v>View Full Record in Web of Science</v>
      </c>
    </row>
    <row r="13" spans="1:72" x14ac:dyDescent="0.15">
      <c r="A13" t="s">
        <v>72</v>
      </c>
      <c r="B13" t="s">
        <v>259</v>
      </c>
      <c r="C13" t="s">
        <v>74</v>
      </c>
      <c r="D13" t="s">
        <v>74</v>
      </c>
      <c r="E13" t="s">
        <v>74</v>
      </c>
      <c r="F13" t="s">
        <v>259</v>
      </c>
      <c r="G13" t="s">
        <v>74</v>
      </c>
      <c r="H13" t="s">
        <v>74</v>
      </c>
      <c r="I13" t="s">
        <v>260</v>
      </c>
      <c r="J13" t="s">
        <v>211</v>
      </c>
      <c r="K13" t="s">
        <v>74</v>
      </c>
      <c r="L13" t="s">
        <v>74</v>
      </c>
      <c r="M13" t="s">
        <v>77</v>
      </c>
      <c r="N13" t="s">
        <v>78</v>
      </c>
      <c r="O13" t="s">
        <v>74</v>
      </c>
      <c r="P13" t="s">
        <v>74</v>
      </c>
      <c r="Q13" t="s">
        <v>74</v>
      </c>
      <c r="R13" t="s">
        <v>74</v>
      </c>
      <c r="S13" t="s">
        <v>74</v>
      </c>
      <c r="T13" t="s">
        <v>261</v>
      </c>
      <c r="U13" t="s">
        <v>262</v>
      </c>
      <c r="V13" t="s">
        <v>263</v>
      </c>
      <c r="W13" t="s">
        <v>264</v>
      </c>
      <c r="X13" t="s">
        <v>265</v>
      </c>
      <c r="Y13" t="s">
        <v>266</v>
      </c>
      <c r="Z13" t="s">
        <v>74</v>
      </c>
      <c r="AA13" t="s">
        <v>267</v>
      </c>
      <c r="AB13" t="s">
        <v>268</v>
      </c>
      <c r="AC13" t="s">
        <v>74</v>
      </c>
      <c r="AD13" t="s">
        <v>74</v>
      </c>
      <c r="AE13" t="s">
        <v>74</v>
      </c>
      <c r="AF13" t="s">
        <v>74</v>
      </c>
      <c r="AG13">
        <v>21</v>
      </c>
      <c r="AH13">
        <v>74</v>
      </c>
      <c r="AI13">
        <v>92</v>
      </c>
      <c r="AJ13">
        <v>0</v>
      </c>
      <c r="AK13">
        <v>4</v>
      </c>
      <c r="AL13" t="s">
        <v>213</v>
      </c>
      <c r="AM13" t="s">
        <v>214</v>
      </c>
      <c r="AN13" t="s">
        <v>215</v>
      </c>
      <c r="AO13" t="s">
        <v>216</v>
      </c>
      <c r="AP13" t="s">
        <v>74</v>
      </c>
      <c r="AQ13" t="s">
        <v>74</v>
      </c>
      <c r="AR13" t="s">
        <v>217</v>
      </c>
      <c r="AS13" t="s">
        <v>218</v>
      </c>
      <c r="AT13" t="s">
        <v>219</v>
      </c>
      <c r="AU13">
        <v>1998</v>
      </c>
      <c r="AV13">
        <v>10</v>
      </c>
      <c r="AW13">
        <v>1</v>
      </c>
      <c r="AX13" t="s">
        <v>74</v>
      </c>
      <c r="AY13" t="s">
        <v>74</v>
      </c>
      <c r="AZ13" t="s">
        <v>74</v>
      </c>
      <c r="BA13" t="s">
        <v>74</v>
      </c>
      <c r="BB13">
        <v>31</v>
      </c>
      <c r="BC13">
        <v>38</v>
      </c>
      <c r="BD13" t="s">
        <v>74</v>
      </c>
      <c r="BE13" t="s">
        <v>269</v>
      </c>
      <c r="BF13" t="str">
        <f>HYPERLINK("http://dx.doi.org/10.1017/S0954102098000054","http://dx.doi.org/10.1017/S0954102098000054")</f>
        <v>http://dx.doi.org/10.1017/S0954102098000054</v>
      </c>
      <c r="BG13" t="s">
        <v>74</v>
      </c>
      <c r="BH13" t="s">
        <v>74</v>
      </c>
      <c r="BI13">
        <v>8</v>
      </c>
      <c r="BJ13" t="s">
        <v>220</v>
      </c>
      <c r="BK13" t="s">
        <v>98</v>
      </c>
      <c r="BL13" t="s">
        <v>221</v>
      </c>
      <c r="BM13" t="s">
        <v>222</v>
      </c>
      <c r="BN13">
        <v>11541256</v>
      </c>
      <c r="BO13" t="s">
        <v>74</v>
      </c>
      <c r="BP13" t="s">
        <v>74</v>
      </c>
      <c r="BQ13" t="s">
        <v>74</v>
      </c>
      <c r="BR13" t="s">
        <v>101</v>
      </c>
      <c r="BS13" t="s">
        <v>270</v>
      </c>
      <c r="BT13" t="str">
        <f>HYPERLINK("https%3A%2F%2Fwww.webofscience.com%2Fwos%2Fwoscc%2Ffull-record%2FWOS:000072760800005","View Full Record in Web of Science")</f>
        <v>View Full Record in Web of Science</v>
      </c>
    </row>
    <row r="14" spans="1:72" x14ac:dyDescent="0.15">
      <c r="A14" t="s">
        <v>72</v>
      </c>
      <c r="B14" t="s">
        <v>271</v>
      </c>
      <c r="C14" t="s">
        <v>74</v>
      </c>
      <c r="D14" t="s">
        <v>74</v>
      </c>
      <c r="E14" t="s">
        <v>74</v>
      </c>
      <c r="F14" t="s">
        <v>271</v>
      </c>
      <c r="G14" t="s">
        <v>74</v>
      </c>
      <c r="H14" t="s">
        <v>74</v>
      </c>
      <c r="I14" t="s">
        <v>272</v>
      </c>
      <c r="J14" t="s">
        <v>211</v>
      </c>
      <c r="K14" t="s">
        <v>74</v>
      </c>
      <c r="L14" t="s">
        <v>74</v>
      </c>
      <c r="M14" t="s">
        <v>77</v>
      </c>
      <c r="N14" t="s">
        <v>78</v>
      </c>
      <c r="O14" t="s">
        <v>74</v>
      </c>
      <c r="P14" t="s">
        <v>74</v>
      </c>
      <c r="Q14" t="s">
        <v>74</v>
      </c>
      <c r="R14" t="s">
        <v>74</v>
      </c>
      <c r="S14" t="s">
        <v>74</v>
      </c>
      <c r="T14" t="s">
        <v>273</v>
      </c>
      <c r="U14" t="s">
        <v>274</v>
      </c>
      <c r="V14" t="s">
        <v>275</v>
      </c>
      <c r="W14" t="s">
        <v>276</v>
      </c>
      <c r="X14" t="s">
        <v>277</v>
      </c>
      <c r="Y14" t="s">
        <v>278</v>
      </c>
      <c r="Z14" t="s">
        <v>279</v>
      </c>
      <c r="AA14" t="s">
        <v>280</v>
      </c>
      <c r="AB14" t="s">
        <v>74</v>
      </c>
      <c r="AC14" t="s">
        <v>74</v>
      </c>
      <c r="AD14" t="s">
        <v>74</v>
      </c>
      <c r="AE14" t="s">
        <v>74</v>
      </c>
      <c r="AF14" t="s">
        <v>74</v>
      </c>
      <c r="AG14">
        <v>29</v>
      </c>
      <c r="AH14">
        <v>32</v>
      </c>
      <c r="AI14">
        <v>33</v>
      </c>
      <c r="AJ14">
        <v>0</v>
      </c>
      <c r="AK14">
        <v>3</v>
      </c>
      <c r="AL14" t="s">
        <v>213</v>
      </c>
      <c r="AM14" t="s">
        <v>214</v>
      </c>
      <c r="AN14" t="s">
        <v>215</v>
      </c>
      <c r="AO14" t="s">
        <v>216</v>
      </c>
      <c r="AP14" t="s">
        <v>74</v>
      </c>
      <c r="AQ14" t="s">
        <v>74</v>
      </c>
      <c r="AR14" t="s">
        <v>217</v>
      </c>
      <c r="AS14" t="s">
        <v>218</v>
      </c>
      <c r="AT14" t="s">
        <v>219</v>
      </c>
      <c r="AU14">
        <v>1998</v>
      </c>
      <c r="AV14">
        <v>10</v>
      </c>
      <c r="AW14">
        <v>1</v>
      </c>
      <c r="AX14" t="s">
        <v>74</v>
      </c>
      <c r="AY14" t="s">
        <v>74</v>
      </c>
      <c r="AZ14" t="s">
        <v>74</v>
      </c>
      <c r="BA14" t="s">
        <v>74</v>
      </c>
      <c r="BB14">
        <v>39</v>
      </c>
      <c r="BC14">
        <v>44</v>
      </c>
      <c r="BD14" t="s">
        <v>74</v>
      </c>
      <c r="BE14" t="s">
        <v>281</v>
      </c>
      <c r="BF14" t="str">
        <f>HYPERLINK("http://dx.doi.org/10.1017/S0954102098000066","http://dx.doi.org/10.1017/S0954102098000066")</f>
        <v>http://dx.doi.org/10.1017/S0954102098000066</v>
      </c>
      <c r="BG14" t="s">
        <v>74</v>
      </c>
      <c r="BH14" t="s">
        <v>74</v>
      </c>
      <c r="BI14">
        <v>6</v>
      </c>
      <c r="BJ14" t="s">
        <v>220</v>
      </c>
      <c r="BK14" t="s">
        <v>98</v>
      </c>
      <c r="BL14" t="s">
        <v>221</v>
      </c>
      <c r="BM14" t="s">
        <v>222</v>
      </c>
      <c r="BN14" t="s">
        <v>74</v>
      </c>
      <c r="BO14" t="s">
        <v>74</v>
      </c>
      <c r="BP14" t="s">
        <v>74</v>
      </c>
      <c r="BQ14" t="s">
        <v>74</v>
      </c>
      <c r="BR14" t="s">
        <v>101</v>
      </c>
      <c r="BS14" t="s">
        <v>282</v>
      </c>
      <c r="BT14" t="str">
        <f>HYPERLINK("https%3A%2F%2Fwww.webofscience.com%2Fwos%2Fwoscc%2Ffull-record%2FWOS:000072760800006","View Full Record in Web of Science")</f>
        <v>View Full Record in Web of Science</v>
      </c>
    </row>
    <row r="15" spans="1:72" x14ac:dyDescent="0.15">
      <c r="A15" t="s">
        <v>72</v>
      </c>
      <c r="B15" t="s">
        <v>283</v>
      </c>
      <c r="C15" t="s">
        <v>74</v>
      </c>
      <c r="D15" t="s">
        <v>74</v>
      </c>
      <c r="E15" t="s">
        <v>74</v>
      </c>
      <c r="F15" t="s">
        <v>283</v>
      </c>
      <c r="G15" t="s">
        <v>74</v>
      </c>
      <c r="H15" t="s">
        <v>74</v>
      </c>
      <c r="I15" t="s">
        <v>284</v>
      </c>
      <c r="J15" t="s">
        <v>211</v>
      </c>
      <c r="K15" t="s">
        <v>74</v>
      </c>
      <c r="L15" t="s">
        <v>74</v>
      </c>
      <c r="M15" t="s">
        <v>77</v>
      </c>
      <c r="N15" t="s">
        <v>78</v>
      </c>
      <c r="O15" t="s">
        <v>74</v>
      </c>
      <c r="P15" t="s">
        <v>74</v>
      </c>
      <c r="Q15" t="s">
        <v>74</v>
      </c>
      <c r="R15" t="s">
        <v>74</v>
      </c>
      <c r="S15" t="s">
        <v>74</v>
      </c>
      <c r="T15" t="s">
        <v>285</v>
      </c>
      <c r="U15" t="s">
        <v>286</v>
      </c>
      <c r="V15" t="s">
        <v>287</v>
      </c>
      <c r="W15" t="s">
        <v>288</v>
      </c>
      <c r="X15" t="s">
        <v>289</v>
      </c>
      <c r="Y15" t="s">
        <v>290</v>
      </c>
      <c r="Z15" t="s">
        <v>74</v>
      </c>
      <c r="AA15" t="s">
        <v>291</v>
      </c>
      <c r="AB15" t="s">
        <v>292</v>
      </c>
      <c r="AC15" t="s">
        <v>74</v>
      </c>
      <c r="AD15" t="s">
        <v>74</v>
      </c>
      <c r="AE15" t="s">
        <v>74</v>
      </c>
      <c r="AF15" t="s">
        <v>74</v>
      </c>
      <c r="AG15">
        <v>74</v>
      </c>
      <c r="AH15">
        <v>22</v>
      </c>
      <c r="AI15">
        <v>23</v>
      </c>
      <c r="AJ15">
        <v>0</v>
      </c>
      <c r="AK15">
        <v>6</v>
      </c>
      <c r="AL15" t="s">
        <v>243</v>
      </c>
      <c r="AM15" t="s">
        <v>244</v>
      </c>
      <c r="AN15" t="s">
        <v>245</v>
      </c>
      <c r="AO15" t="s">
        <v>216</v>
      </c>
      <c r="AP15" t="s">
        <v>293</v>
      </c>
      <c r="AQ15" t="s">
        <v>74</v>
      </c>
      <c r="AR15" t="s">
        <v>217</v>
      </c>
      <c r="AS15" t="s">
        <v>218</v>
      </c>
      <c r="AT15" t="s">
        <v>219</v>
      </c>
      <c r="AU15">
        <v>1998</v>
      </c>
      <c r="AV15">
        <v>10</v>
      </c>
      <c r="AW15">
        <v>1</v>
      </c>
      <c r="AX15" t="s">
        <v>74</v>
      </c>
      <c r="AY15" t="s">
        <v>74</v>
      </c>
      <c r="AZ15" t="s">
        <v>74</v>
      </c>
      <c r="BA15" t="s">
        <v>74</v>
      </c>
      <c r="BB15">
        <v>45</v>
      </c>
      <c r="BC15">
        <v>54</v>
      </c>
      <c r="BD15" t="s">
        <v>74</v>
      </c>
      <c r="BE15" t="s">
        <v>294</v>
      </c>
      <c r="BF15" t="str">
        <f>HYPERLINK("http://dx.doi.org/10.1017/S0954102098000078","http://dx.doi.org/10.1017/S0954102098000078")</f>
        <v>http://dx.doi.org/10.1017/S0954102098000078</v>
      </c>
      <c r="BG15" t="s">
        <v>74</v>
      </c>
      <c r="BH15" t="s">
        <v>74</v>
      </c>
      <c r="BI15">
        <v>10</v>
      </c>
      <c r="BJ15" t="s">
        <v>220</v>
      </c>
      <c r="BK15" t="s">
        <v>98</v>
      </c>
      <c r="BL15" t="s">
        <v>221</v>
      </c>
      <c r="BM15" t="s">
        <v>222</v>
      </c>
      <c r="BN15" t="s">
        <v>74</v>
      </c>
      <c r="BO15" t="s">
        <v>74</v>
      </c>
      <c r="BP15" t="s">
        <v>74</v>
      </c>
      <c r="BQ15" t="s">
        <v>74</v>
      </c>
      <c r="BR15" t="s">
        <v>101</v>
      </c>
      <c r="BS15" t="s">
        <v>295</v>
      </c>
      <c r="BT15" t="str">
        <f>HYPERLINK("https%3A%2F%2Fwww.webofscience.com%2Fwos%2Fwoscc%2Ffull-record%2FWOS:000072760800007","View Full Record in Web of Science")</f>
        <v>View Full Record in Web of Science</v>
      </c>
    </row>
    <row r="16" spans="1:72" x14ac:dyDescent="0.15">
      <c r="A16" t="s">
        <v>72</v>
      </c>
      <c r="B16" t="s">
        <v>296</v>
      </c>
      <c r="C16" t="s">
        <v>74</v>
      </c>
      <c r="D16" t="s">
        <v>74</v>
      </c>
      <c r="E16" t="s">
        <v>74</v>
      </c>
      <c r="F16" t="s">
        <v>296</v>
      </c>
      <c r="G16" t="s">
        <v>74</v>
      </c>
      <c r="H16" t="s">
        <v>74</v>
      </c>
      <c r="I16" t="s">
        <v>297</v>
      </c>
      <c r="J16" t="s">
        <v>211</v>
      </c>
      <c r="K16" t="s">
        <v>74</v>
      </c>
      <c r="L16" t="s">
        <v>74</v>
      </c>
      <c r="M16" t="s">
        <v>77</v>
      </c>
      <c r="N16" t="s">
        <v>78</v>
      </c>
      <c r="O16" t="s">
        <v>74</v>
      </c>
      <c r="P16" t="s">
        <v>74</v>
      </c>
      <c r="Q16" t="s">
        <v>74</v>
      </c>
      <c r="R16" t="s">
        <v>74</v>
      </c>
      <c r="S16" t="s">
        <v>74</v>
      </c>
      <c r="T16" t="s">
        <v>298</v>
      </c>
      <c r="U16" t="s">
        <v>299</v>
      </c>
      <c r="V16" t="s">
        <v>300</v>
      </c>
      <c r="W16" t="s">
        <v>301</v>
      </c>
      <c r="X16" t="s">
        <v>302</v>
      </c>
      <c r="Y16" t="s">
        <v>303</v>
      </c>
      <c r="Z16" t="s">
        <v>74</v>
      </c>
      <c r="AA16" t="s">
        <v>74</v>
      </c>
      <c r="AB16" t="s">
        <v>74</v>
      </c>
      <c r="AC16" t="s">
        <v>74</v>
      </c>
      <c r="AD16" t="s">
        <v>74</v>
      </c>
      <c r="AE16" t="s">
        <v>74</v>
      </c>
      <c r="AF16" t="s">
        <v>74</v>
      </c>
      <c r="AG16">
        <v>30</v>
      </c>
      <c r="AH16">
        <v>11</v>
      </c>
      <c r="AI16">
        <v>11</v>
      </c>
      <c r="AJ16">
        <v>0</v>
      </c>
      <c r="AK16">
        <v>10</v>
      </c>
      <c r="AL16" t="s">
        <v>213</v>
      </c>
      <c r="AM16" t="s">
        <v>214</v>
      </c>
      <c r="AN16" t="s">
        <v>215</v>
      </c>
      <c r="AO16" t="s">
        <v>216</v>
      </c>
      <c r="AP16" t="s">
        <v>74</v>
      </c>
      <c r="AQ16" t="s">
        <v>74</v>
      </c>
      <c r="AR16" t="s">
        <v>217</v>
      </c>
      <c r="AS16" t="s">
        <v>218</v>
      </c>
      <c r="AT16" t="s">
        <v>219</v>
      </c>
      <c r="AU16">
        <v>1998</v>
      </c>
      <c r="AV16">
        <v>10</v>
      </c>
      <c r="AW16">
        <v>1</v>
      </c>
      <c r="AX16" t="s">
        <v>74</v>
      </c>
      <c r="AY16" t="s">
        <v>74</v>
      </c>
      <c r="AZ16" t="s">
        <v>74</v>
      </c>
      <c r="BA16" t="s">
        <v>74</v>
      </c>
      <c r="BB16">
        <v>55</v>
      </c>
      <c r="BC16">
        <v>61</v>
      </c>
      <c r="BD16" t="s">
        <v>74</v>
      </c>
      <c r="BE16" t="s">
        <v>304</v>
      </c>
      <c r="BF16" t="str">
        <f>HYPERLINK("http://dx.doi.org/10.1017/S095410209800008X","http://dx.doi.org/10.1017/S095410209800008X")</f>
        <v>http://dx.doi.org/10.1017/S095410209800008X</v>
      </c>
      <c r="BG16" t="s">
        <v>74</v>
      </c>
      <c r="BH16" t="s">
        <v>74</v>
      </c>
      <c r="BI16">
        <v>7</v>
      </c>
      <c r="BJ16" t="s">
        <v>220</v>
      </c>
      <c r="BK16" t="s">
        <v>98</v>
      </c>
      <c r="BL16" t="s">
        <v>221</v>
      </c>
      <c r="BM16" t="s">
        <v>222</v>
      </c>
      <c r="BN16" t="s">
        <v>74</v>
      </c>
      <c r="BO16" t="s">
        <v>74</v>
      </c>
      <c r="BP16" t="s">
        <v>74</v>
      </c>
      <c r="BQ16" t="s">
        <v>74</v>
      </c>
      <c r="BR16" t="s">
        <v>101</v>
      </c>
      <c r="BS16" t="s">
        <v>305</v>
      </c>
      <c r="BT16" t="str">
        <f>HYPERLINK("https%3A%2F%2Fwww.webofscience.com%2Fwos%2Fwoscc%2Ffull-record%2FWOS:000072760800008","View Full Record in Web of Science")</f>
        <v>View Full Record in Web of Science</v>
      </c>
    </row>
    <row r="17" spans="1:72" x14ac:dyDescent="0.15">
      <c r="A17" t="s">
        <v>72</v>
      </c>
      <c r="B17" t="s">
        <v>306</v>
      </c>
      <c r="C17" t="s">
        <v>74</v>
      </c>
      <c r="D17" t="s">
        <v>74</v>
      </c>
      <c r="E17" t="s">
        <v>74</v>
      </c>
      <c r="F17" t="s">
        <v>306</v>
      </c>
      <c r="G17" t="s">
        <v>74</v>
      </c>
      <c r="H17" t="s">
        <v>74</v>
      </c>
      <c r="I17" t="s">
        <v>307</v>
      </c>
      <c r="J17" t="s">
        <v>211</v>
      </c>
      <c r="K17" t="s">
        <v>74</v>
      </c>
      <c r="L17" t="s">
        <v>74</v>
      </c>
      <c r="M17" t="s">
        <v>77</v>
      </c>
      <c r="N17" t="s">
        <v>78</v>
      </c>
      <c r="O17" t="s">
        <v>74</v>
      </c>
      <c r="P17" t="s">
        <v>74</v>
      </c>
      <c r="Q17" t="s">
        <v>74</v>
      </c>
      <c r="R17" t="s">
        <v>74</v>
      </c>
      <c r="S17" t="s">
        <v>74</v>
      </c>
      <c r="T17" t="s">
        <v>308</v>
      </c>
      <c r="U17" t="s">
        <v>309</v>
      </c>
      <c r="V17" t="s">
        <v>310</v>
      </c>
      <c r="W17" t="s">
        <v>311</v>
      </c>
      <c r="X17" t="s">
        <v>312</v>
      </c>
      <c r="Y17" t="s">
        <v>313</v>
      </c>
      <c r="Z17" t="s">
        <v>74</v>
      </c>
      <c r="AA17" t="s">
        <v>74</v>
      </c>
      <c r="AB17" t="s">
        <v>74</v>
      </c>
      <c r="AC17" t="s">
        <v>74</v>
      </c>
      <c r="AD17" t="s">
        <v>74</v>
      </c>
      <c r="AE17" t="s">
        <v>74</v>
      </c>
      <c r="AF17" t="s">
        <v>74</v>
      </c>
      <c r="AG17">
        <v>31</v>
      </c>
      <c r="AH17">
        <v>61</v>
      </c>
      <c r="AI17">
        <v>62</v>
      </c>
      <c r="AJ17">
        <v>0</v>
      </c>
      <c r="AK17">
        <v>11</v>
      </c>
      <c r="AL17" t="s">
        <v>213</v>
      </c>
      <c r="AM17" t="s">
        <v>214</v>
      </c>
      <c r="AN17" t="s">
        <v>215</v>
      </c>
      <c r="AO17" t="s">
        <v>216</v>
      </c>
      <c r="AP17" t="s">
        <v>74</v>
      </c>
      <c r="AQ17" t="s">
        <v>74</v>
      </c>
      <c r="AR17" t="s">
        <v>217</v>
      </c>
      <c r="AS17" t="s">
        <v>218</v>
      </c>
      <c r="AT17" t="s">
        <v>219</v>
      </c>
      <c r="AU17">
        <v>1998</v>
      </c>
      <c r="AV17">
        <v>10</v>
      </c>
      <c r="AW17">
        <v>1</v>
      </c>
      <c r="AX17" t="s">
        <v>74</v>
      </c>
      <c r="AY17" t="s">
        <v>74</v>
      </c>
      <c r="AZ17" t="s">
        <v>74</v>
      </c>
      <c r="BA17" t="s">
        <v>74</v>
      </c>
      <c r="BB17">
        <v>63</v>
      </c>
      <c r="BC17">
        <v>74</v>
      </c>
      <c r="BD17" t="s">
        <v>74</v>
      </c>
      <c r="BE17" t="s">
        <v>314</v>
      </c>
      <c r="BF17" t="str">
        <f>HYPERLINK("http://dx.doi.org/10.1017/S0954102098000091","http://dx.doi.org/10.1017/S0954102098000091")</f>
        <v>http://dx.doi.org/10.1017/S0954102098000091</v>
      </c>
      <c r="BG17" t="s">
        <v>74</v>
      </c>
      <c r="BH17" t="s">
        <v>74</v>
      </c>
      <c r="BI17">
        <v>12</v>
      </c>
      <c r="BJ17" t="s">
        <v>220</v>
      </c>
      <c r="BK17" t="s">
        <v>98</v>
      </c>
      <c r="BL17" t="s">
        <v>221</v>
      </c>
      <c r="BM17" t="s">
        <v>222</v>
      </c>
      <c r="BN17" t="s">
        <v>74</v>
      </c>
      <c r="BO17" t="s">
        <v>74</v>
      </c>
      <c r="BP17" t="s">
        <v>74</v>
      </c>
      <c r="BQ17" t="s">
        <v>74</v>
      </c>
      <c r="BR17" t="s">
        <v>101</v>
      </c>
      <c r="BS17" t="s">
        <v>315</v>
      </c>
      <c r="BT17" t="str">
        <f>HYPERLINK("https%3A%2F%2Fwww.webofscience.com%2Fwos%2Fwoscc%2Ffull-record%2FWOS:000072760800009","View Full Record in Web of Science")</f>
        <v>View Full Record in Web of Science</v>
      </c>
    </row>
    <row r="18" spans="1:72" x14ac:dyDescent="0.15">
      <c r="A18" t="s">
        <v>72</v>
      </c>
      <c r="B18" t="s">
        <v>316</v>
      </c>
      <c r="C18" t="s">
        <v>74</v>
      </c>
      <c r="D18" t="s">
        <v>74</v>
      </c>
      <c r="E18" t="s">
        <v>74</v>
      </c>
      <c r="F18" t="s">
        <v>316</v>
      </c>
      <c r="G18" t="s">
        <v>74</v>
      </c>
      <c r="H18" t="s">
        <v>74</v>
      </c>
      <c r="I18" t="s">
        <v>317</v>
      </c>
      <c r="J18" t="s">
        <v>211</v>
      </c>
      <c r="K18" t="s">
        <v>74</v>
      </c>
      <c r="L18" t="s">
        <v>74</v>
      </c>
      <c r="M18" t="s">
        <v>77</v>
      </c>
      <c r="N18" t="s">
        <v>78</v>
      </c>
      <c r="O18" t="s">
        <v>74</v>
      </c>
      <c r="P18" t="s">
        <v>74</v>
      </c>
      <c r="Q18" t="s">
        <v>74</v>
      </c>
      <c r="R18" t="s">
        <v>74</v>
      </c>
      <c r="S18" t="s">
        <v>74</v>
      </c>
      <c r="T18" t="s">
        <v>318</v>
      </c>
      <c r="U18" t="s">
        <v>319</v>
      </c>
      <c r="V18" t="s">
        <v>320</v>
      </c>
      <c r="W18" t="s">
        <v>321</v>
      </c>
      <c r="X18" t="s">
        <v>322</v>
      </c>
      <c r="Y18" t="s">
        <v>323</v>
      </c>
      <c r="Z18" t="s">
        <v>74</v>
      </c>
      <c r="AA18" t="s">
        <v>324</v>
      </c>
      <c r="AB18" t="s">
        <v>325</v>
      </c>
      <c r="AC18" t="s">
        <v>74</v>
      </c>
      <c r="AD18" t="s">
        <v>74</v>
      </c>
      <c r="AE18" t="s">
        <v>74</v>
      </c>
      <c r="AF18" t="s">
        <v>74</v>
      </c>
      <c r="AG18">
        <v>31</v>
      </c>
      <c r="AH18">
        <v>53</v>
      </c>
      <c r="AI18">
        <v>62</v>
      </c>
      <c r="AJ18">
        <v>0</v>
      </c>
      <c r="AK18">
        <v>94</v>
      </c>
      <c r="AL18" t="s">
        <v>213</v>
      </c>
      <c r="AM18" t="s">
        <v>214</v>
      </c>
      <c r="AN18" t="s">
        <v>215</v>
      </c>
      <c r="AO18" t="s">
        <v>216</v>
      </c>
      <c r="AP18" t="s">
        <v>74</v>
      </c>
      <c r="AQ18" t="s">
        <v>74</v>
      </c>
      <c r="AR18" t="s">
        <v>217</v>
      </c>
      <c r="AS18" t="s">
        <v>218</v>
      </c>
      <c r="AT18" t="s">
        <v>219</v>
      </c>
      <c r="AU18">
        <v>1998</v>
      </c>
      <c r="AV18">
        <v>10</v>
      </c>
      <c r="AW18">
        <v>1</v>
      </c>
      <c r="AX18" t="s">
        <v>74</v>
      </c>
      <c r="AY18" t="s">
        <v>74</v>
      </c>
      <c r="AZ18" t="s">
        <v>74</v>
      </c>
      <c r="BA18" t="s">
        <v>74</v>
      </c>
      <c r="BB18">
        <v>75</v>
      </c>
      <c r="BC18">
        <v>81</v>
      </c>
      <c r="BD18" t="s">
        <v>74</v>
      </c>
      <c r="BE18" t="s">
        <v>326</v>
      </c>
      <c r="BF18" t="str">
        <f>HYPERLINK("http://dx.doi.org/10.1017/S0954102098000108","http://dx.doi.org/10.1017/S0954102098000108")</f>
        <v>http://dx.doi.org/10.1017/S0954102098000108</v>
      </c>
      <c r="BG18" t="s">
        <v>74</v>
      </c>
      <c r="BH18" t="s">
        <v>74</v>
      </c>
      <c r="BI18">
        <v>7</v>
      </c>
      <c r="BJ18" t="s">
        <v>220</v>
      </c>
      <c r="BK18" t="s">
        <v>98</v>
      </c>
      <c r="BL18" t="s">
        <v>221</v>
      </c>
      <c r="BM18" t="s">
        <v>222</v>
      </c>
      <c r="BN18" t="s">
        <v>74</v>
      </c>
      <c r="BO18" t="s">
        <v>74</v>
      </c>
      <c r="BP18" t="s">
        <v>74</v>
      </c>
      <c r="BQ18" t="s">
        <v>74</v>
      </c>
      <c r="BR18" t="s">
        <v>101</v>
      </c>
      <c r="BS18" t="s">
        <v>327</v>
      </c>
      <c r="BT18" t="str">
        <f>HYPERLINK("https%3A%2F%2Fwww.webofscience.com%2Fwos%2Fwoscc%2Ffull-record%2FWOS:000072760800010","View Full Record in Web of Science")</f>
        <v>View Full Record in Web of Science</v>
      </c>
    </row>
    <row r="19" spans="1:72" x14ac:dyDescent="0.15">
      <c r="A19" t="s">
        <v>72</v>
      </c>
      <c r="B19" t="s">
        <v>328</v>
      </c>
      <c r="C19" t="s">
        <v>74</v>
      </c>
      <c r="D19" t="s">
        <v>74</v>
      </c>
      <c r="E19" t="s">
        <v>74</v>
      </c>
      <c r="F19" t="s">
        <v>328</v>
      </c>
      <c r="G19" t="s">
        <v>74</v>
      </c>
      <c r="H19" t="s">
        <v>74</v>
      </c>
      <c r="I19" t="s">
        <v>329</v>
      </c>
      <c r="J19" t="s">
        <v>211</v>
      </c>
      <c r="K19" t="s">
        <v>74</v>
      </c>
      <c r="L19" t="s">
        <v>74</v>
      </c>
      <c r="M19" t="s">
        <v>77</v>
      </c>
      <c r="N19" t="s">
        <v>78</v>
      </c>
      <c r="O19" t="s">
        <v>74</v>
      </c>
      <c r="P19" t="s">
        <v>74</v>
      </c>
      <c r="Q19" t="s">
        <v>74</v>
      </c>
      <c r="R19" t="s">
        <v>74</v>
      </c>
      <c r="S19" t="s">
        <v>74</v>
      </c>
      <c r="T19" t="s">
        <v>330</v>
      </c>
      <c r="U19" t="s">
        <v>331</v>
      </c>
      <c r="V19" t="s">
        <v>332</v>
      </c>
      <c r="W19" t="s">
        <v>333</v>
      </c>
      <c r="X19" t="s">
        <v>334</v>
      </c>
      <c r="Y19" t="s">
        <v>335</v>
      </c>
      <c r="Z19" t="s">
        <v>336</v>
      </c>
      <c r="AA19" t="s">
        <v>74</v>
      </c>
      <c r="AB19" t="s">
        <v>74</v>
      </c>
      <c r="AC19" t="s">
        <v>74</v>
      </c>
      <c r="AD19" t="s">
        <v>74</v>
      </c>
      <c r="AE19" t="s">
        <v>74</v>
      </c>
      <c r="AF19" t="s">
        <v>74</v>
      </c>
      <c r="AG19">
        <v>39</v>
      </c>
      <c r="AH19">
        <v>37</v>
      </c>
      <c r="AI19">
        <v>44</v>
      </c>
      <c r="AJ19">
        <v>1</v>
      </c>
      <c r="AK19">
        <v>7</v>
      </c>
      <c r="AL19" t="s">
        <v>243</v>
      </c>
      <c r="AM19" t="s">
        <v>244</v>
      </c>
      <c r="AN19" t="s">
        <v>245</v>
      </c>
      <c r="AO19" t="s">
        <v>216</v>
      </c>
      <c r="AP19" t="s">
        <v>293</v>
      </c>
      <c r="AQ19" t="s">
        <v>74</v>
      </c>
      <c r="AR19" t="s">
        <v>217</v>
      </c>
      <c r="AS19" t="s">
        <v>218</v>
      </c>
      <c r="AT19" t="s">
        <v>219</v>
      </c>
      <c r="AU19">
        <v>1998</v>
      </c>
      <c r="AV19">
        <v>10</v>
      </c>
      <c r="AW19">
        <v>1</v>
      </c>
      <c r="AX19" t="s">
        <v>74</v>
      </c>
      <c r="AY19" t="s">
        <v>74</v>
      </c>
      <c r="AZ19" t="s">
        <v>74</v>
      </c>
      <c r="BA19" t="s">
        <v>74</v>
      </c>
      <c r="BB19">
        <v>83</v>
      </c>
      <c r="BC19">
        <v>88</v>
      </c>
      <c r="BD19" t="s">
        <v>74</v>
      </c>
      <c r="BE19" t="s">
        <v>337</v>
      </c>
      <c r="BF19" t="str">
        <f>HYPERLINK("http://dx.doi.org/10.1017/S095410209800011X","http://dx.doi.org/10.1017/S095410209800011X")</f>
        <v>http://dx.doi.org/10.1017/S095410209800011X</v>
      </c>
      <c r="BG19" t="s">
        <v>74</v>
      </c>
      <c r="BH19" t="s">
        <v>74</v>
      </c>
      <c r="BI19">
        <v>6</v>
      </c>
      <c r="BJ19" t="s">
        <v>220</v>
      </c>
      <c r="BK19" t="s">
        <v>98</v>
      </c>
      <c r="BL19" t="s">
        <v>221</v>
      </c>
      <c r="BM19" t="s">
        <v>222</v>
      </c>
      <c r="BN19" t="s">
        <v>74</v>
      </c>
      <c r="BO19" t="s">
        <v>74</v>
      </c>
      <c r="BP19" t="s">
        <v>74</v>
      </c>
      <c r="BQ19" t="s">
        <v>74</v>
      </c>
      <c r="BR19" t="s">
        <v>101</v>
      </c>
      <c r="BS19" t="s">
        <v>338</v>
      </c>
      <c r="BT19" t="str">
        <f>HYPERLINK("https%3A%2F%2Fwww.webofscience.com%2Fwos%2Fwoscc%2Ffull-record%2FWOS:000072760800011","View Full Record in Web of Science")</f>
        <v>View Full Record in Web of Science</v>
      </c>
    </row>
    <row r="20" spans="1:72" x14ac:dyDescent="0.15">
      <c r="A20" t="s">
        <v>72</v>
      </c>
      <c r="B20" t="s">
        <v>339</v>
      </c>
      <c r="C20" t="s">
        <v>74</v>
      </c>
      <c r="D20" t="s">
        <v>74</v>
      </c>
      <c r="E20" t="s">
        <v>74</v>
      </c>
      <c r="F20" t="s">
        <v>339</v>
      </c>
      <c r="G20" t="s">
        <v>74</v>
      </c>
      <c r="H20" t="s">
        <v>74</v>
      </c>
      <c r="I20" t="s">
        <v>340</v>
      </c>
      <c r="J20" t="s">
        <v>211</v>
      </c>
      <c r="K20" t="s">
        <v>74</v>
      </c>
      <c r="L20" t="s">
        <v>74</v>
      </c>
      <c r="M20" t="s">
        <v>77</v>
      </c>
      <c r="N20" t="s">
        <v>78</v>
      </c>
      <c r="O20" t="s">
        <v>74</v>
      </c>
      <c r="P20" t="s">
        <v>74</v>
      </c>
      <c r="Q20" t="s">
        <v>74</v>
      </c>
      <c r="R20" t="s">
        <v>74</v>
      </c>
      <c r="S20" t="s">
        <v>74</v>
      </c>
      <c r="T20" t="s">
        <v>341</v>
      </c>
      <c r="U20" t="s">
        <v>342</v>
      </c>
      <c r="V20" t="s">
        <v>343</v>
      </c>
      <c r="W20" t="s">
        <v>344</v>
      </c>
      <c r="X20" t="s">
        <v>345</v>
      </c>
      <c r="Y20" t="s">
        <v>346</v>
      </c>
      <c r="Z20" t="s">
        <v>74</v>
      </c>
      <c r="AA20" t="s">
        <v>347</v>
      </c>
      <c r="AB20" t="s">
        <v>348</v>
      </c>
      <c r="AC20" t="s">
        <v>74</v>
      </c>
      <c r="AD20" t="s">
        <v>74</v>
      </c>
      <c r="AE20" t="s">
        <v>74</v>
      </c>
      <c r="AF20" t="s">
        <v>74</v>
      </c>
      <c r="AG20">
        <v>19</v>
      </c>
      <c r="AH20">
        <v>8</v>
      </c>
      <c r="AI20">
        <v>8</v>
      </c>
      <c r="AJ20">
        <v>0</v>
      </c>
      <c r="AK20">
        <v>5</v>
      </c>
      <c r="AL20" t="s">
        <v>213</v>
      </c>
      <c r="AM20" t="s">
        <v>214</v>
      </c>
      <c r="AN20" t="s">
        <v>215</v>
      </c>
      <c r="AO20" t="s">
        <v>216</v>
      </c>
      <c r="AP20" t="s">
        <v>74</v>
      </c>
      <c r="AQ20" t="s">
        <v>74</v>
      </c>
      <c r="AR20" t="s">
        <v>217</v>
      </c>
      <c r="AS20" t="s">
        <v>218</v>
      </c>
      <c r="AT20" t="s">
        <v>219</v>
      </c>
      <c r="AU20">
        <v>1998</v>
      </c>
      <c r="AV20">
        <v>10</v>
      </c>
      <c r="AW20">
        <v>1</v>
      </c>
      <c r="AX20" t="s">
        <v>74</v>
      </c>
      <c r="AY20" t="s">
        <v>74</v>
      </c>
      <c r="AZ20" t="s">
        <v>74</v>
      </c>
      <c r="BA20" t="s">
        <v>74</v>
      </c>
      <c r="BB20">
        <v>89</v>
      </c>
      <c r="BC20">
        <v>98</v>
      </c>
      <c r="BD20" t="s">
        <v>74</v>
      </c>
      <c r="BE20" t="s">
        <v>349</v>
      </c>
      <c r="BF20" t="str">
        <f>HYPERLINK("http://dx.doi.org/10.1017/S0954102098000121","http://dx.doi.org/10.1017/S0954102098000121")</f>
        <v>http://dx.doi.org/10.1017/S0954102098000121</v>
      </c>
      <c r="BG20" t="s">
        <v>74</v>
      </c>
      <c r="BH20" t="s">
        <v>74</v>
      </c>
      <c r="BI20">
        <v>10</v>
      </c>
      <c r="BJ20" t="s">
        <v>220</v>
      </c>
      <c r="BK20" t="s">
        <v>98</v>
      </c>
      <c r="BL20" t="s">
        <v>221</v>
      </c>
      <c r="BM20" t="s">
        <v>222</v>
      </c>
      <c r="BN20" t="s">
        <v>74</v>
      </c>
      <c r="BO20" t="s">
        <v>74</v>
      </c>
      <c r="BP20" t="s">
        <v>74</v>
      </c>
      <c r="BQ20" t="s">
        <v>74</v>
      </c>
      <c r="BR20" t="s">
        <v>101</v>
      </c>
      <c r="BS20" t="s">
        <v>350</v>
      </c>
      <c r="BT20" t="str">
        <f>HYPERLINK("https%3A%2F%2Fwww.webofscience.com%2Fwos%2Fwoscc%2Ffull-record%2FWOS:000072760800012","View Full Record in Web of Science")</f>
        <v>View Full Record in Web of Science</v>
      </c>
    </row>
    <row r="21" spans="1:72" x14ac:dyDescent="0.15">
      <c r="A21" t="s">
        <v>72</v>
      </c>
      <c r="B21" t="s">
        <v>351</v>
      </c>
      <c r="C21" t="s">
        <v>74</v>
      </c>
      <c r="D21" t="s">
        <v>74</v>
      </c>
      <c r="E21" t="s">
        <v>74</v>
      </c>
      <c r="F21" t="s">
        <v>351</v>
      </c>
      <c r="G21" t="s">
        <v>74</v>
      </c>
      <c r="H21" t="s">
        <v>74</v>
      </c>
      <c r="I21" t="s">
        <v>352</v>
      </c>
      <c r="J21" t="s">
        <v>353</v>
      </c>
      <c r="K21" t="s">
        <v>74</v>
      </c>
      <c r="L21" t="s">
        <v>74</v>
      </c>
      <c r="M21" t="s">
        <v>77</v>
      </c>
      <c r="N21" t="s">
        <v>78</v>
      </c>
      <c r="O21" t="s">
        <v>74</v>
      </c>
      <c r="P21" t="s">
        <v>74</v>
      </c>
      <c r="Q21" t="s">
        <v>74</v>
      </c>
      <c r="R21" t="s">
        <v>74</v>
      </c>
      <c r="S21" t="s">
        <v>74</v>
      </c>
      <c r="T21" t="s">
        <v>74</v>
      </c>
      <c r="U21" t="s">
        <v>354</v>
      </c>
      <c r="V21" t="s">
        <v>355</v>
      </c>
      <c r="W21" t="s">
        <v>356</v>
      </c>
      <c r="X21" t="s">
        <v>357</v>
      </c>
      <c r="Y21" t="s">
        <v>358</v>
      </c>
      <c r="Z21" t="s">
        <v>359</v>
      </c>
      <c r="AA21" t="s">
        <v>74</v>
      </c>
      <c r="AB21" t="s">
        <v>74</v>
      </c>
      <c r="AC21" t="s">
        <v>74</v>
      </c>
      <c r="AD21" t="s">
        <v>74</v>
      </c>
      <c r="AE21" t="s">
        <v>74</v>
      </c>
      <c r="AF21" t="s">
        <v>74</v>
      </c>
      <c r="AG21">
        <v>11</v>
      </c>
      <c r="AH21">
        <v>55</v>
      </c>
      <c r="AI21">
        <v>62</v>
      </c>
      <c r="AJ21">
        <v>0</v>
      </c>
      <c r="AK21">
        <v>7</v>
      </c>
      <c r="AL21" t="s">
        <v>360</v>
      </c>
      <c r="AM21" t="s">
        <v>88</v>
      </c>
      <c r="AN21" t="s">
        <v>361</v>
      </c>
      <c r="AO21" t="s">
        <v>362</v>
      </c>
      <c r="AP21" t="s">
        <v>363</v>
      </c>
      <c r="AQ21" t="s">
        <v>74</v>
      </c>
      <c r="AR21" t="s">
        <v>364</v>
      </c>
      <c r="AS21" t="s">
        <v>365</v>
      </c>
      <c r="AT21" t="s">
        <v>219</v>
      </c>
      <c r="AU21">
        <v>1998</v>
      </c>
      <c r="AV21">
        <v>64</v>
      </c>
      <c r="AW21">
        <v>3</v>
      </c>
      <c r="AX21" t="s">
        <v>74</v>
      </c>
      <c r="AY21" t="s">
        <v>74</v>
      </c>
      <c r="AZ21" t="s">
        <v>74</v>
      </c>
      <c r="BA21" t="s">
        <v>74</v>
      </c>
      <c r="BB21">
        <v>1163</v>
      </c>
      <c r="BC21">
        <v>1165</v>
      </c>
      <c r="BD21" t="s">
        <v>74</v>
      </c>
      <c r="BE21" t="s">
        <v>74</v>
      </c>
      <c r="BF21" t="s">
        <v>74</v>
      </c>
      <c r="BG21" t="s">
        <v>74</v>
      </c>
      <c r="BH21" t="s">
        <v>74</v>
      </c>
      <c r="BI21">
        <v>3</v>
      </c>
      <c r="BJ21" t="s">
        <v>366</v>
      </c>
      <c r="BK21" t="s">
        <v>98</v>
      </c>
      <c r="BL21" t="s">
        <v>366</v>
      </c>
      <c r="BM21" t="s">
        <v>367</v>
      </c>
      <c r="BN21">
        <v>9501457</v>
      </c>
      <c r="BO21" t="s">
        <v>74</v>
      </c>
      <c r="BP21" t="s">
        <v>74</v>
      </c>
      <c r="BQ21" t="s">
        <v>74</v>
      </c>
      <c r="BR21" t="s">
        <v>101</v>
      </c>
      <c r="BS21" t="s">
        <v>368</v>
      </c>
      <c r="BT21" t="str">
        <f>HYPERLINK("https%3A%2F%2Fwww.webofscience.com%2Fwos%2Fwoscc%2Ffull-record%2FWOS:000072292700057","View Full Record in Web of Science")</f>
        <v>View Full Record in Web of Science</v>
      </c>
    </row>
    <row r="22" spans="1:72" x14ac:dyDescent="0.15">
      <c r="A22" t="s">
        <v>72</v>
      </c>
      <c r="B22" t="s">
        <v>369</v>
      </c>
      <c r="C22" t="s">
        <v>74</v>
      </c>
      <c r="D22" t="s">
        <v>74</v>
      </c>
      <c r="E22" t="s">
        <v>74</v>
      </c>
      <c r="F22" t="s">
        <v>369</v>
      </c>
      <c r="G22" t="s">
        <v>74</v>
      </c>
      <c r="H22" t="s">
        <v>74</v>
      </c>
      <c r="I22" t="s">
        <v>370</v>
      </c>
      <c r="J22" t="s">
        <v>353</v>
      </c>
      <c r="K22" t="s">
        <v>74</v>
      </c>
      <c r="L22" t="s">
        <v>74</v>
      </c>
      <c r="M22" t="s">
        <v>77</v>
      </c>
      <c r="N22" t="s">
        <v>371</v>
      </c>
      <c r="O22" t="s">
        <v>74</v>
      </c>
      <c r="P22" t="s">
        <v>74</v>
      </c>
      <c r="Q22" t="s">
        <v>74</v>
      </c>
      <c r="R22" t="s">
        <v>74</v>
      </c>
      <c r="S22" t="s">
        <v>74</v>
      </c>
      <c r="T22" t="s">
        <v>74</v>
      </c>
      <c r="U22" t="s">
        <v>74</v>
      </c>
      <c r="V22" t="s">
        <v>74</v>
      </c>
      <c r="W22" t="s">
        <v>372</v>
      </c>
      <c r="X22" t="s">
        <v>322</v>
      </c>
      <c r="Y22" t="s">
        <v>373</v>
      </c>
      <c r="Z22" t="s">
        <v>74</v>
      </c>
      <c r="AA22" t="s">
        <v>74</v>
      </c>
      <c r="AB22" t="s">
        <v>74</v>
      </c>
      <c r="AC22" t="s">
        <v>74</v>
      </c>
      <c r="AD22" t="s">
        <v>74</v>
      </c>
      <c r="AE22" t="s">
        <v>74</v>
      </c>
      <c r="AF22" t="s">
        <v>74</v>
      </c>
      <c r="AG22">
        <v>1</v>
      </c>
      <c r="AH22">
        <v>0</v>
      </c>
      <c r="AI22">
        <v>0</v>
      </c>
      <c r="AJ22">
        <v>0</v>
      </c>
      <c r="AK22">
        <v>0</v>
      </c>
      <c r="AL22" t="s">
        <v>360</v>
      </c>
      <c r="AM22" t="s">
        <v>88</v>
      </c>
      <c r="AN22" t="s">
        <v>374</v>
      </c>
      <c r="AO22" t="s">
        <v>362</v>
      </c>
      <c r="AP22" t="s">
        <v>74</v>
      </c>
      <c r="AQ22" t="s">
        <v>74</v>
      </c>
      <c r="AR22" t="s">
        <v>364</v>
      </c>
      <c r="AS22" t="s">
        <v>365</v>
      </c>
      <c r="AT22" t="s">
        <v>219</v>
      </c>
      <c r="AU22">
        <v>1998</v>
      </c>
      <c r="AV22">
        <v>64</v>
      </c>
      <c r="AW22">
        <v>3</v>
      </c>
      <c r="AX22" t="s">
        <v>74</v>
      </c>
      <c r="AY22" t="s">
        <v>74</v>
      </c>
      <c r="AZ22" t="s">
        <v>74</v>
      </c>
      <c r="BA22" t="s">
        <v>74</v>
      </c>
      <c r="BB22">
        <v>1167</v>
      </c>
      <c r="BC22">
        <v>1167</v>
      </c>
      <c r="BD22" t="s">
        <v>74</v>
      </c>
      <c r="BE22" t="s">
        <v>74</v>
      </c>
      <c r="BF22" t="s">
        <v>74</v>
      </c>
      <c r="BG22" t="s">
        <v>74</v>
      </c>
      <c r="BH22" t="s">
        <v>74</v>
      </c>
      <c r="BI22">
        <v>1</v>
      </c>
      <c r="BJ22" t="s">
        <v>366</v>
      </c>
      <c r="BK22" t="s">
        <v>98</v>
      </c>
      <c r="BL22" t="s">
        <v>366</v>
      </c>
      <c r="BM22" t="s">
        <v>367</v>
      </c>
      <c r="BN22">
        <v>16349523</v>
      </c>
      <c r="BO22" t="s">
        <v>74</v>
      </c>
      <c r="BP22" t="s">
        <v>74</v>
      </c>
      <c r="BQ22" t="s">
        <v>74</v>
      </c>
      <c r="BR22" t="s">
        <v>101</v>
      </c>
      <c r="BS22" t="s">
        <v>375</v>
      </c>
      <c r="BT22" t="str">
        <f>HYPERLINK("https%3A%2F%2Fwww.webofscience.com%2Fwos%2Fwoscc%2Ffull-record%2FWOS:000072292700061","View Full Record in Web of Science")</f>
        <v>View Full Record in Web of Science</v>
      </c>
    </row>
    <row r="23" spans="1:72" x14ac:dyDescent="0.15">
      <c r="A23" t="s">
        <v>72</v>
      </c>
      <c r="B23" t="s">
        <v>376</v>
      </c>
      <c r="C23" t="s">
        <v>74</v>
      </c>
      <c r="D23" t="s">
        <v>74</v>
      </c>
      <c r="E23" t="s">
        <v>74</v>
      </c>
      <c r="F23" t="s">
        <v>376</v>
      </c>
      <c r="G23" t="s">
        <v>74</v>
      </c>
      <c r="H23" t="s">
        <v>74</v>
      </c>
      <c r="I23" t="s">
        <v>377</v>
      </c>
      <c r="J23" t="s">
        <v>378</v>
      </c>
      <c r="K23" t="s">
        <v>74</v>
      </c>
      <c r="L23" t="s">
        <v>74</v>
      </c>
      <c r="M23" t="s">
        <v>77</v>
      </c>
      <c r="N23" t="s">
        <v>379</v>
      </c>
      <c r="O23" t="s">
        <v>380</v>
      </c>
      <c r="P23" t="s">
        <v>381</v>
      </c>
      <c r="Q23" t="s">
        <v>382</v>
      </c>
      <c r="R23" t="s">
        <v>74</v>
      </c>
      <c r="S23" t="s">
        <v>74</v>
      </c>
      <c r="T23" t="s">
        <v>383</v>
      </c>
      <c r="U23" t="s">
        <v>384</v>
      </c>
      <c r="V23" t="s">
        <v>385</v>
      </c>
      <c r="W23" t="s">
        <v>386</v>
      </c>
      <c r="X23" t="s">
        <v>387</v>
      </c>
      <c r="Y23" t="s">
        <v>388</v>
      </c>
      <c r="Z23" t="s">
        <v>74</v>
      </c>
      <c r="AA23" t="s">
        <v>74</v>
      </c>
      <c r="AB23" t="s">
        <v>74</v>
      </c>
      <c r="AC23" t="s">
        <v>74</v>
      </c>
      <c r="AD23" t="s">
        <v>74</v>
      </c>
      <c r="AE23" t="s">
        <v>74</v>
      </c>
      <c r="AF23" t="s">
        <v>74</v>
      </c>
      <c r="AG23">
        <v>67</v>
      </c>
      <c r="AH23">
        <v>42</v>
      </c>
      <c r="AI23">
        <v>42</v>
      </c>
      <c r="AJ23">
        <v>1</v>
      </c>
      <c r="AK23">
        <v>5</v>
      </c>
      <c r="AL23" t="s">
        <v>389</v>
      </c>
      <c r="AM23" t="s">
        <v>390</v>
      </c>
      <c r="AN23" t="s">
        <v>391</v>
      </c>
      <c r="AO23" t="s">
        <v>392</v>
      </c>
      <c r="AP23" t="s">
        <v>74</v>
      </c>
      <c r="AQ23" t="s">
        <v>74</v>
      </c>
      <c r="AR23" t="s">
        <v>393</v>
      </c>
      <c r="AS23" t="s">
        <v>394</v>
      </c>
      <c r="AT23" t="s">
        <v>219</v>
      </c>
      <c r="AU23">
        <v>1998</v>
      </c>
      <c r="AV23">
        <v>102</v>
      </c>
      <c r="AW23">
        <v>3</v>
      </c>
      <c r="AX23" t="s">
        <v>74</v>
      </c>
      <c r="AY23" t="s">
        <v>74</v>
      </c>
      <c r="AZ23" t="s">
        <v>74</v>
      </c>
      <c r="BA23" t="s">
        <v>74</v>
      </c>
      <c r="BB23">
        <v>518</v>
      </c>
      <c r="BC23">
        <v>526</v>
      </c>
      <c r="BD23" t="s">
        <v>74</v>
      </c>
      <c r="BE23" t="s">
        <v>395</v>
      </c>
      <c r="BF23" t="str">
        <f>HYPERLINK("http://dx.doi.org/10.1002/bbpc.19981020335","http://dx.doi.org/10.1002/bbpc.19981020335")</f>
        <v>http://dx.doi.org/10.1002/bbpc.19981020335</v>
      </c>
      <c r="BG23" t="s">
        <v>74</v>
      </c>
      <c r="BH23" t="s">
        <v>74</v>
      </c>
      <c r="BI23">
        <v>9</v>
      </c>
      <c r="BJ23" t="s">
        <v>396</v>
      </c>
      <c r="BK23" t="s">
        <v>397</v>
      </c>
      <c r="BL23" t="s">
        <v>398</v>
      </c>
      <c r="BM23" t="s">
        <v>399</v>
      </c>
      <c r="BN23" t="s">
        <v>74</v>
      </c>
      <c r="BO23" t="s">
        <v>74</v>
      </c>
      <c r="BP23" t="s">
        <v>74</v>
      </c>
      <c r="BQ23" t="s">
        <v>74</v>
      </c>
      <c r="BR23" t="s">
        <v>101</v>
      </c>
      <c r="BS23" t="s">
        <v>400</v>
      </c>
      <c r="BT23" t="str">
        <f>HYPERLINK("https%3A%2F%2Fwww.webofscience.com%2Fwos%2Fwoscc%2Ffull-record%2FWOS:000072996100034","View Full Record in Web of Science")</f>
        <v>View Full Record in Web of Science</v>
      </c>
    </row>
    <row r="24" spans="1:72" x14ac:dyDescent="0.15">
      <c r="A24" t="s">
        <v>72</v>
      </c>
      <c r="B24" t="s">
        <v>401</v>
      </c>
      <c r="C24" t="s">
        <v>74</v>
      </c>
      <c r="D24" t="s">
        <v>74</v>
      </c>
      <c r="E24" t="s">
        <v>74</v>
      </c>
      <c r="F24" t="s">
        <v>401</v>
      </c>
      <c r="G24" t="s">
        <v>74</v>
      </c>
      <c r="H24" t="s">
        <v>74</v>
      </c>
      <c r="I24" t="s">
        <v>402</v>
      </c>
      <c r="J24" t="s">
        <v>403</v>
      </c>
      <c r="K24" t="s">
        <v>74</v>
      </c>
      <c r="L24" t="s">
        <v>74</v>
      </c>
      <c r="M24" t="s">
        <v>77</v>
      </c>
      <c r="N24" t="s">
        <v>78</v>
      </c>
      <c r="O24" t="s">
        <v>74</v>
      </c>
      <c r="P24" t="s">
        <v>74</v>
      </c>
      <c r="Q24" t="s">
        <v>74</v>
      </c>
      <c r="R24" t="s">
        <v>74</v>
      </c>
      <c r="S24" t="s">
        <v>74</v>
      </c>
      <c r="T24" t="s">
        <v>74</v>
      </c>
      <c r="U24" t="s">
        <v>404</v>
      </c>
      <c r="V24" t="s">
        <v>405</v>
      </c>
      <c r="W24" t="s">
        <v>406</v>
      </c>
      <c r="X24" t="s">
        <v>407</v>
      </c>
      <c r="Y24" t="s">
        <v>408</v>
      </c>
      <c r="Z24" t="s">
        <v>409</v>
      </c>
      <c r="AA24" t="s">
        <v>74</v>
      </c>
      <c r="AB24" t="s">
        <v>74</v>
      </c>
      <c r="AC24" t="s">
        <v>74</v>
      </c>
      <c r="AD24" t="s">
        <v>74</v>
      </c>
      <c r="AE24" t="s">
        <v>74</v>
      </c>
      <c r="AF24" t="s">
        <v>74</v>
      </c>
      <c r="AG24">
        <v>49</v>
      </c>
      <c r="AH24">
        <v>35</v>
      </c>
      <c r="AI24">
        <v>42</v>
      </c>
      <c r="AJ24">
        <v>0</v>
      </c>
      <c r="AK24">
        <v>12</v>
      </c>
      <c r="AL24" t="s">
        <v>410</v>
      </c>
      <c r="AM24" t="s">
        <v>411</v>
      </c>
      <c r="AN24" t="s">
        <v>412</v>
      </c>
      <c r="AO24" t="s">
        <v>413</v>
      </c>
      <c r="AP24" t="s">
        <v>74</v>
      </c>
      <c r="AQ24" t="s">
        <v>74</v>
      </c>
      <c r="AR24" t="s">
        <v>414</v>
      </c>
      <c r="AS24" t="s">
        <v>415</v>
      </c>
      <c r="AT24" t="s">
        <v>219</v>
      </c>
      <c r="AU24">
        <v>1998</v>
      </c>
      <c r="AV24">
        <v>76</v>
      </c>
      <c r="AW24">
        <v>3</v>
      </c>
      <c r="AX24" t="s">
        <v>74</v>
      </c>
      <c r="AY24" t="s">
        <v>74</v>
      </c>
      <c r="AZ24" t="s">
        <v>74</v>
      </c>
      <c r="BA24" t="s">
        <v>74</v>
      </c>
      <c r="BB24">
        <v>480</v>
      </c>
      <c r="BC24">
        <v>492</v>
      </c>
      <c r="BD24" t="s">
        <v>74</v>
      </c>
      <c r="BE24" t="s">
        <v>416</v>
      </c>
      <c r="BF24" t="str">
        <f>HYPERLINK("http://dx.doi.org/10.1139/cjz-76-3-480","http://dx.doi.org/10.1139/cjz-76-3-480")</f>
        <v>http://dx.doi.org/10.1139/cjz-76-3-480</v>
      </c>
      <c r="BG24" t="s">
        <v>74</v>
      </c>
      <c r="BH24" t="s">
        <v>74</v>
      </c>
      <c r="BI24">
        <v>13</v>
      </c>
      <c r="BJ24" t="s">
        <v>417</v>
      </c>
      <c r="BK24" t="s">
        <v>98</v>
      </c>
      <c r="BL24" t="s">
        <v>417</v>
      </c>
      <c r="BM24" t="s">
        <v>418</v>
      </c>
      <c r="BN24" t="s">
        <v>74</v>
      </c>
      <c r="BO24" t="s">
        <v>74</v>
      </c>
      <c r="BP24" t="s">
        <v>74</v>
      </c>
      <c r="BQ24" t="s">
        <v>74</v>
      </c>
      <c r="BR24" t="s">
        <v>101</v>
      </c>
      <c r="BS24" t="s">
        <v>419</v>
      </c>
      <c r="BT24" t="str">
        <f>HYPERLINK("https%3A%2F%2Fwww.webofscience.com%2Fwos%2Fwoscc%2Ffull-record%2FWOS:000074719800012","View Full Record in Web of Science")</f>
        <v>View Full Record in Web of Science</v>
      </c>
    </row>
    <row r="25" spans="1:72" x14ac:dyDescent="0.15">
      <c r="A25" t="s">
        <v>72</v>
      </c>
      <c r="B25" t="s">
        <v>420</v>
      </c>
      <c r="C25" t="s">
        <v>74</v>
      </c>
      <c r="D25" t="s">
        <v>74</v>
      </c>
      <c r="E25" t="s">
        <v>74</v>
      </c>
      <c r="F25" t="s">
        <v>420</v>
      </c>
      <c r="G25" t="s">
        <v>74</v>
      </c>
      <c r="H25" t="s">
        <v>74</v>
      </c>
      <c r="I25" t="s">
        <v>421</v>
      </c>
      <c r="J25" t="s">
        <v>403</v>
      </c>
      <c r="K25" t="s">
        <v>74</v>
      </c>
      <c r="L25" t="s">
        <v>74</v>
      </c>
      <c r="M25" t="s">
        <v>77</v>
      </c>
      <c r="N25" t="s">
        <v>78</v>
      </c>
      <c r="O25" t="s">
        <v>74</v>
      </c>
      <c r="P25" t="s">
        <v>74</v>
      </c>
      <c r="Q25" t="s">
        <v>74</v>
      </c>
      <c r="R25" t="s">
        <v>74</v>
      </c>
      <c r="S25" t="s">
        <v>74</v>
      </c>
      <c r="T25" t="s">
        <v>74</v>
      </c>
      <c r="U25" t="s">
        <v>74</v>
      </c>
      <c r="V25" t="s">
        <v>422</v>
      </c>
      <c r="W25" t="s">
        <v>372</v>
      </c>
      <c r="X25" t="s">
        <v>322</v>
      </c>
      <c r="Y25" t="s">
        <v>423</v>
      </c>
      <c r="Z25" t="s">
        <v>74</v>
      </c>
      <c r="AA25" t="s">
        <v>74</v>
      </c>
      <c r="AB25" t="s">
        <v>424</v>
      </c>
      <c r="AC25" t="s">
        <v>74</v>
      </c>
      <c r="AD25" t="s">
        <v>74</v>
      </c>
      <c r="AE25" t="s">
        <v>74</v>
      </c>
      <c r="AF25" t="s">
        <v>74</v>
      </c>
      <c r="AG25">
        <v>22</v>
      </c>
      <c r="AH25">
        <v>34</v>
      </c>
      <c r="AI25">
        <v>40</v>
      </c>
      <c r="AJ25">
        <v>0</v>
      </c>
      <c r="AK25">
        <v>8</v>
      </c>
      <c r="AL25" t="s">
        <v>410</v>
      </c>
      <c r="AM25" t="s">
        <v>411</v>
      </c>
      <c r="AN25" t="s">
        <v>412</v>
      </c>
      <c r="AO25" t="s">
        <v>413</v>
      </c>
      <c r="AP25" t="s">
        <v>74</v>
      </c>
      <c r="AQ25" t="s">
        <v>74</v>
      </c>
      <c r="AR25" t="s">
        <v>414</v>
      </c>
      <c r="AS25" t="s">
        <v>415</v>
      </c>
      <c r="AT25" t="s">
        <v>219</v>
      </c>
      <c r="AU25">
        <v>1998</v>
      </c>
      <c r="AV25">
        <v>76</v>
      </c>
      <c r="AW25">
        <v>3</v>
      </c>
      <c r="AX25" t="s">
        <v>74</v>
      </c>
      <c r="AY25" t="s">
        <v>74</v>
      </c>
      <c r="AZ25" t="s">
        <v>74</v>
      </c>
      <c r="BA25" t="s">
        <v>74</v>
      </c>
      <c r="BB25">
        <v>513</v>
      </c>
      <c r="BC25">
        <v>520</v>
      </c>
      <c r="BD25" t="s">
        <v>74</v>
      </c>
      <c r="BE25" t="s">
        <v>425</v>
      </c>
      <c r="BF25" t="str">
        <f>HYPERLINK("http://dx.doi.org/10.1139/cjz-76-3-513","http://dx.doi.org/10.1139/cjz-76-3-513")</f>
        <v>http://dx.doi.org/10.1139/cjz-76-3-513</v>
      </c>
      <c r="BG25" t="s">
        <v>74</v>
      </c>
      <c r="BH25" t="s">
        <v>74</v>
      </c>
      <c r="BI25">
        <v>8</v>
      </c>
      <c r="BJ25" t="s">
        <v>417</v>
      </c>
      <c r="BK25" t="s">
        <v>98</v>
      </c>
      <c r="BL25" t="s">
        <v>417</v>
      </c>
      <c r="BM25" t="s">
        <v>418</v>
      </c>
      <c r="BN25" t="s">
        <v>74</v>
      </c>
      <c r="BO25" t="s">
        <v>74</v>
      </c>
      <c r="BP25" t="s">
        <v>74</v>
      </c>
      <c r="BQ25" t="s">
        <v>74</v>
      </c>
      <c r="BR25" t="s">
        <v>101</v>
      </c>
      <c r="BS25" t="s">
        <v>426</v>
      </c>
      <c r="BT25" t="str">
        <f>HYPERLINK("https%3A%2F%2Fwww.webofscience.com%2Fwos%2Fwoscc%2Ffull-record%2FWOS:000074719800016","View Full Record in Web of Science")</f>
        <v>View Full Record in Web of Science</v>
      </c>
    </row>
    <row r="26" spans="1:72" x14ac:dyDescent="0.15">
      <c r="A26" t="s">
        <v>72</v>
      </c>
      <c r="B26" t="s">
        <v>427</v>
      </c>
      <c r="C26" t="s">
        <v>74</v>
      </c>
      <c r="D26" t="s">
        <v>74</v>
      </c>
      <c r="E26" t="s">
        <v>74</v>
      </c>
      <c r="F26" t="s">
        <v>427</v>
      </c>
      <c r="G26" t="s">
        <v>74</v>
      </c>
      <c r="H26" t="s">
        <v>74</v>
      </c>
      <c r="I26" t="s">
        <v>428</v>
      </c>
      <c r="J26" t="s">
        <v>429</v>
      </c>
      <c r="K26" t="s">
        <v>74</v>
      </c>
      <c r="L26" t="s">
        <v>74</v>
      </c>
      <c r="M26" t="s">
        <v>77</v>
      </c>
      <c r="N26" t="s">
        <v>78</v>
      </c>
      <c r="O26" t="s">
        <v>74</v>
      </c>
      <c r="P26" t="s">
        <v>74</v>
      </c>
      <c r="Q26" t="s">
        <v>74</v>
      </c>
      <c r="R26" t="s">
        <v>74</v>
      </c>
      <c r="S26" t="s">
        <v>74</v>
      </c>
      <c r="T26" t="s">
        <v>74</v>
      </c>
      <c r="U26" t="s">
        <v>74</v>
      </c>
      <c r="V26" t="s">
        <v>74</v>
      </c>
      <c r="W26" t="s">
        <v>430</v>
      </c>
      <c r="X26" t="s">
        <v>431</v>
      </c>
      <c r="Y26" t="s">
        <v>432</v>
      </c>
      <c r="Z26" t="s">
        <v>74</v>
      </c>
      <c r="AA26" t="s">
        <v>74</v>
      </c>
      <c r="AB26" t="s">
        <v>74</v>
      </c>
      <c r="AC26" t="s">
        <v>74</v>
      </c>
      <c r="AD26" t="s">
        <v>74</v>
      </c>
      <c r="AE26" t="s">
        <v>74</v>
      </c>
      <c r="AF26" t="s">
        <v>74</v>
      </c>
      <c r="AG26">
        <v>14</v>
      </c>
      <c r="AH26">
        <v>22</v>
      </c>
      <c r="AI26">
        <v>26</v>
      </c>
      <c r="AJ26">
        <v>0</v>
      </c>
      <c r="AK26">
        <v>5</v>
      </c>
      <c r="AL26" t="s">
        <v>433</v>
      </c>
      <c r="AM26" t="s">
        <v>434</v>
      </c>
      <c r="AN26" t="s">
        <v>435</v>
      </c>
      <c r="AO26" t="s">
        <v>436</v>
      </c>
      <c r="AP26" t="s">
        <v>74</v>
      </c>
      <c r="AQ26" t="s">
        <v>74</v>
      </c>
      <c r="AR26" t="s">
        <v>429</v>
      </c>
      <c r="AS26" t="s">
        <v>437</v>
      </c>
      <c r="AT26" t="s">
        <v>219</v>
      </c>
      <c r="AU26">
        <v>1998</v>
      </c>
      <c r="AV26">
        <v>98</v>
      </c>
      <c r="AW26" t="s">
        <v>74</v>
      </c>
      <c r="AX26">
        <v>1</v>
      </c>
      <c r="AY26" t="s">
        <v>74</v>
      </c>
      <c r="AZ26" t="s">
        <v>74</v>
      </c>
      <c r="BA26" t="s">
        <v>74</v>
      </c>
      <c r="BB26">
        <v>79</v>
      </c>
      <c r="BC26">
        <v>82</v>
      </c>
      <c r="BD26" t="s">
        <v>74</v>
      </c>
      <c r="BE26" t="s">
        <v>438</v>
      </c>
      <c r="BF26" t="str">
        <f>HYPERLINK("http://dx.doi.org/10.1071/MU98007F","http://dx.doi.org/10.1071/MU98007F")</f>
        <v>http://dx.doi.org/10.1071/MU98007F</v>
      </c>
      <c r="BG26" t="s">
        <v>74</v>
      </c>
      <c r="BH26" t="s">
        <v>74</v>
      </c>
      <c r="BI26">
        <v>4</v>
      </c>
      <c r="BJ26" t="s">
        <v>439</v>
      </c>
      <c r="BK26" t="s">
        <v>98</v>
      </c>
      <c r="BL26" t="s">
        <v>417</v>
      </c>
      <c r="BM26" t="s">
        <v>440</v>
      </c>
      <c r="BN26" t="s">
        <v>74</v>
      </c>
      <c r="BO26" t="s">
        <v>74</v>
      </c>
      <c r="BP26" t="s">
        <v>74</v>
      </c>
      <c r="BQ26" t="s">
        <v>74</v>
      </c>
      <c r="BR26" t="s">
        <v>101</v>
      </c>
      <c r="BS26" t="s">
        <v>441</v>
      </c>
      <c r="BT26" t="str">
        <f>HYPERLINK("https%3A%2F%2Fwww.webofscience.com%2Fwos%2Fwoscc%2Ffull-record%2FWOS:000072306400012","View Full Record in Web of Science")</f>
        <v>View Full Record in Web of Science</v>
      </c>
    </row>
    <row r="27" spans="1:72" x14ac:dyDescent="0.15">
      <c r="A27" t="s">
        <v>72</v>
      </c>
      <c r="B27" t="s">
        <v>442</v>
      </c>
      <c r="C27" t="s">
        <v>74</v>
      </c>
      <c r="D27" t="s">
        <v>74</v>
      </c>
      <c r="E27" t="s">
        <v>74</v>
      </c>
      <c r="F27" t="s">
        <v>442</v>
      </c>
      <c r="G27" t="s">
        <v>74</v>
      </c>
      <c r="H27" t="s">
        <v>74</v>
      </c>
      <c r="I27" t="s">
        <v>443</v>
      </c>
      <c r="J27" t="s">
        <v>444</v>
      </c>
      <c r="K27" t="s">
        <v>74</v>
      </c>
      <c r="L27" t="s">
        <v>74</v>
      </c>
      <c r="M27" t="s">
        <v>77</v>
      </c>
      <c r="N27" t="s">
        <v>78</v>
      </c>
      <c r="O27" t="s">
        <v>74</v>
      </c>
      <c r="P27" t="s">
        <v>74</v>
      </c>
      <c r="Q27" t="s">
        <v>74</v>
      </c>
      <c r="R27" t="s">
        <v>74</v>
      </c>
      <c r="S27" t="s">
        <v>74</v>
      </c>
      <c r="T27" t="s">
        <v>74</v>
      </c>
      <c r="U27" t="s">
        <v>445</v>
      </c>
      <c r="V27" t="s">
        <v>446</v>
      </c>
      <c r="W27" t="s">
        <v>447</v>
      </c>
      <c r="X27" t="s">
        <v>448</v>
      </c>
      <c r="Y27" t="s">
        <v>449</v>
      </c>
      <c r="Z27" t="s">
        <v>74</v>
      </c>
      <c r="AA27" t="s">
        <v>74</v>
      </c>
      <c r="AB27" t="s">
        <v>450</v>
      </c>
      <c r="AC27" t="s">
        <v>74</v>
      </c>
      <c r="AD27" t="s">
        <v>74</v>
      </c>
      <c r="AE27" t="s">
        <v>74</v>
      </c>
      <c r="AF27" t="s">
        <v>74</v>
      </c>
      <c r="AG27">
        <v>66</v>
      </c>
      <c r="AH27">
        <v>52</v>
      </c>
      <c r="AI27">
        <v>61</v>
      </c>
      <c r="AJ27">
        <v>0</v>
      </c>
      <c r="AK27">
        <v>14</v>
      </c>
      <c r="AL27" t="s">
        <v>451</v>
      </c>
      <c r="AM27" t="s">
        <v>214</v>
      </c>
      <c r="AN27" t="s">
        <v>452</v>
      </c>
      <c r="AO27" t="s">
        <v>453</v>
      </c>
      <c r="AP27" t="s">
        <v>74</v>
      </c>
      <c r="AQ27" t="s">
        <v>74</v>
      </c>
      <c r="AR27" t="s">
        <v>454</v>
      </c>
      <c r="AS27" t="s">
        <v>455</v>
      </c>
      <c r="AT27" t="s">
        <v>219</v>
      </c>
      <c r="AU27">
        <v>1998</v>
      </c>
      <c r="AV27">
        <v>62</v>
      </c>
      <c r="AW27">
        <v>5</v>
      </c>
      <c r="AX27" t="s">
        <v>74</v>
      </c>
      <c r="AY27" t="s">
        <v>74</v>
      </c>
      <c r="AZ27" t="s">
        <v>74</v>
      </c>
      <c r="BA27" t="s">
        <v>74</v>
      </c>
      <c r="BB27">
        <v>841</v>
      </c>
      <c r="BC27">
        <v>852</v>
      </c>
      <c r="BD27" t="s">
        <v>74</v>
      </c>
      <c r="BE27" t="s">
        <v>456</v>
      </c>
      <c r="BF27" t="str">
        <f>HYPERLINK("http://dx.doi.org/10.1016/S0016-7037(97)00383-9","http://dx.doi.org/10.1016/S0016-7037(97)00383-9")</f>
        <v>http://dx.doi.org/10.1016/S0016-7037(97)00383-9</v>
      </c>
      <c r="BG27" t="s">
        <v>74</v>
      </c>
      <c r="BH27" t="s">
        <v>74</v>
      </c>
      <c r="BI27">
        <v>12</v>
      </c>
      <c r="BJ27" t="s">
        <v>143</v>
      </c>
      <c r="BK27" t="s">
        <v>98</v>
      </c>
      <c r="BL27" t="s">
        <v>143</v>
      </c>
      <c r="BM27" t="s">
        <v>457</v>
      </c>
      <c r="BN27" t="s">
        <v>74</v>
      </c>
      <c r="BO27" t="s">
        <v>74</v>
      </c>
      <c r="BP27" t="s">
        <v>74</v>
      </c>
      <c r="BQ27" t="s">
        <v>74</v>
      </c>
      <c r="BR27" t="s">
        <v>101</v>
      </c>
      <c r="BS27" t="s">
        <v>458</v>
      </c>
      <c r="BT27" t="str">
        <f>HYPERLINK("https%3A%2F%2Fwww.webofscience.com%2Fwos%2Fwoscc%2Ffull-record%2FWOS:000073250600009","View Full Record in Web of Science")</f>
        <v>View Full Record in Web of Science</v>
      </c>
    </row>
    <row r="28" spans="1:72" x14ac:dyDescent="0.15">
      <c r="A28" t="s">
        <v>72</v>
      </c>
      <c r="B28" t="s">
        <v>459</v>
      </c>
      <c r="C28" t="s">
        <v>74</v>
      </c>
      <c r="D28" t="s">
        <v>74</v>
      </c>
      <c r="E28" t="s">
        <v>74</v>
      </c>
      <c r="F28" t="s">
        <v>459</v>
      </c>
      <c r="G28" t="s">
        <v>74</v>
      </c>
      <c r="H28" t="s">
        <v>74</v>
      </c>
      <c r="I28" t="s">
        <v>460</v>
      </c>
      <c r="J28" t="s">
        <v>461</v>
      </c>
      <c r="K28" t="s">
        <v>74</v>
      </c>
      <c r="L28" t="s">
        <v>74</v>
      </c>
      <c r="M28" t="s">
        <v>77</v>
      </c>
      <c r="N28" t="s">
        <v>78</v>
      </c>
      <c r="O28" t="s">
        <v>74</v>
      </c>
      <c r="P28" t="s">
        <v>74</v>
      </c>
      <c r="Q28" t="s">
        <v>74</v>
      </c>
      <c r="R28" t="s">
        <v>74</v>
      </c>
      <c r="S28" t="s">
        <v>74</v>
      </c>
      <c r="T28" t="s">
        <v>74</v>
      </c>
      <c r="U28" t="s">
        <v>462</v>
      </c>
      <c r="V28" t="s">
        <v>463</v>
      </c>
      <c r="W28" t="s">
        <v>464</v>
      </c>
      <c r="X28" t="s">
        <v>465</v>
      </c>
      <c r="Y28" t="s">
        <v>466</v>
      </c>
      <c r="Z28" t="s">
        <v>74</v>
      </c>
      <c r="AA28" t="s">
        <v>74</v>
      </c>
      <c r="AB28" t="s">
        <v>74</v>
      </c>
      <c r="AC28" t="s">
        <v>74</v>
      </c>
      <c r="AD28" t="s">
        <v>74</v>
      </c>
      <c r="AE28" t="s">
        <v>74</v>
      </c>
      <c r="AF28" t="s">
        <v>74</v>
      </c>
      <c r="AG28">
        <v>26</v>
      </c>
      <c r="AH28">
        <v>68</v>
      </c>
      <c r="AI28">
        <v>79</v>
      </c>
      <c r="AJ28">
        <v>0</v>
      </c>
      <c r="AK28">
        <v>10</v>
      </c>
      <c r="AL28" t="s">
        <v>467</v>
      </c>
      <c r="AM28" t="s">
        <v>468</v>
      </c>
      <c r="AN28" t="s">
        <v>469</v>
      </c>
      <c r="AO28" t="s">
        <v>470</v>
      </c>
      <c r="AP28" t="s">
        <v>74</v>
      </c>
      <c r="AQ28" t="s">
        <v>74</v>
      </c>
      <c r="AR28" t="s">
        <v>461</v>
      </c>
      <c r="AS28" t="s">
        <v>471</v>
      </c>
      <c r="AT28" t="s">
        <v>219</v>
      </c>
      <c r="AU28">
        <v>1998</v>
      </c>
      <c r="AV28">
        <v>26</v>
      </c>
      <c r="AW28">
        <v>3</v>
      </c>
      <c r="AX28" t="s">
        <v>74</v>
      </c>
      <c r="AY28" t="s">
        <v>74</v>
      </c>
      <c r="AZ28" t="s">
        <v>74</v>
      </c>
      <c r="BA28" t="s">
        <v>74</v>
      </c>
      <c r="BB28">
        <v>255</v>
      </c>
      <c r="BC28">
        <v>258</v>
      </c>
      <c r="BD28" t="s">
        <v>74</v>
      </c>
      <c r="BE28" t="s">
        <v>472</v>
      </c>
      <c r="BF28" t="str">
        <f>HYPERLINK("http://dx.doi.org/10.1130/0091-7613(1998)026&lt;0255:EHSLRF&gt;2.3.CO;2","http://dx.doi.org/10.1130/0091-7613(1998)026&lt;0255:EHSLRF&gt;2.3.CO;2")</f>
        <v>http://dx.doi.org/10.1130/0091-7613(1998)026&lt;0255:EHSLRF&gt;2.3.CO;2</v>
      </c>
      <c r="BG28" t="s">
        <v>74</v>
      </c>
      <c r="BH28" t="s">
        <v>74</v>
      </c>
      <c r="BI28">
        <v>4</v>
      </c>
      <c r="BJ28" t="s">
        <v>471</v>
      </c>
      <c r="BK28" t="s">
        <v>98</v>
      </c>
      <c r="BL28" t="s">
        <v>471</v>
      </c>
      <c r="BM28" t="s">
        <v>473</v>
      </c>
      <c r="BN28" t="s">
        <v>74</v>
      </c>
      <c r="BO28" t="s">
        <v>74</v>
      </c>
      <c r="BP28" t="s">
        <v>74</v>
      </c>
      <c r="BQ28" t="s">
        <v>74</v>
      </c>
      <c r="BR28" t="s">
        <v>101</v>
      </c>
      <c r="BS28" t="s">
        <v>474</v>
      </c>
      <c r="BT28" t="str">
        <f>HYPERLINK("https%3A%2F%2Fwww.webofscience.com%2Fwos%2Fwoscc%2Ffull-record%2FWOS:000072436000016","View Full Record in Web of Science")</f>
        <v>View Full Record in Web of Science</v>
      </c>
    </row>
    <row r="29" spans="1:72" x14ac:dyDescent="0.15">
      <c r="A29" t="s">
        <v>72</v>
      </c>
      <c r="B29" t="s">
        <v>475</v>
      </c>
      <c r="C29" t="s">
        <v>74</v>
      </c>
      <c r="D29" t="s">
        <v>74</v>
      </c>
      <c r="E29" t="s">
        <v>74</v>
      </c>
      <c r="F29" t="s">
        <v>475</v>
      </c>
      <c r="G29" t="s">
        <v>74</v>
      </c>
      <c r="H29" t="s">
        <v>74</v>
      </c>
      <c r="I29" t="s">
        <v>476</v>
      </c>
      <c r="J29" t="s">
        <v>461</v>
      </c>
      <c r="K29" t="s">
        <v>74</v>
      </c>
      <c r="L29" t="s">
        <v>74</v>
      </c>
      <c r="M29" t="s">
        <v>77</v>
      </c>
      <c r="N29" t="s">
        <v>78</v>
      </c>
      <c r="O29" t="s">
        <v>74</v>
      </c>
      <c r="P29" t="s">
        <v>74</v>
      </c>
      <c r="Q29" t="s">
        <v>74</v>
      </c>
      <c r="R29" t="s">
        <v>74</v>
      </c>
      <c r="S29" t="s">
        <v>74</v>
      </c>
      <c r="T29" t="s">
        <v>74</v>
      </c>
      <c r="U29" t="s">
        <v>477</v>
      </c>
      <c r="V29" t="s">
        <v>478</v>
      </c>
      <c r="W29" t="s">
        <v>479</v>
      </c>
      <c r="X29" t="s">
        <v>480</v>
      </c>
      <c r="Y29" t="s">
        <v>481</v>
      </c>
      <c r="Z29" t="s">
        <v>482</v>
      </c>
      <c r="AA29" t="s">
        <v>483</v>
      </c>
      <c r="AB29" t="s">
        <v>484</v>
      </c>
      <c r="AC29" t="s">
        <v>74</v>
      </c>
      <c r="AD29" t="s">
        <v>74</v>
      </c>
      <c r="AE29" t="s">
        <v>74</v>
      </c>
      <c r="AF29" t="s">
        <v>74</v>
      </c>
      <c r="AG29">
        <v>16</v>
      </c>
      <c r="AH29">
        <v>13</v>
      </c>
      <c r="AI29">
        <v>15</v>
      </c>
      <c r="AJ29">
        <v>0</v>
      </c>
      <c r="AK29">
        <v>4</v>
      </c>
      <c r="AL29" t="s">
        <v>485</v>
      </c>
      <c r="AM29" t="s">
        <v>486</v>
      </c>
      <c r="AN29" t="s">
        <v>487</v>
      </c>
      <c r="AO29" t="s">
        <v>470</v>
      </c>
      <c r="AP29" t="s">
        <v>488</v>
      </c>
      <c r="AQ29" t="s">
        <v>74</v>
      </c>
      <c r="AR29" t="s">
        <v>461</v>
      </c>
      <c r="AS29" t="s">
        <v>471</v>
      </c>
      <c r="AT29" t="s">
        <v>219</v>
      </c>
      <c r="AU29">
        <v>1998</v>
      </c>
      <c r="AV29">
        <v>26</v>
      </c>
      <c r="AW29">
        <v>3</v>
      </c>
      <c r="AX29" t="s">
        <v>74</v>
      </c>
      <c r="AY29" t="s">
        <v>74</v>
      </c>
      <c r="AZ29" t="s">
        <v>74</v>
      </c>
      <c r="BA29" t="s">
        <v>74</v>
      </c>
      <c r="BB29">
        <v>267</v>
      </c>
      <c r="BC29">
        <v>270</v>
      </c>
      <c r="BD29" t="s">
        <v>74</v>
      </c>
      <c r="BE29" t="s">
        <v>489</v>
      </c>
      <c r="BF29" t="str">
        <f>HYPERLINK("http://dx.doi.org/10.1130/0091-7613(1998)026&lt;0267:TPCOTB&gt;2.3.CO;2","http://dx.doi.org/10.1130/0091-7613(1998)026&lt;0267:TPCOTB&gt;2.3.CO;2")</f>
        <v>http://dx.doi.org/10.1130/0091-7613(1998)026&lt;0267:TPCOTB&gt;2.3.CO;2</v>
      </c>
      <c r="BG29" t="s">
        <v>74</v>
      </c>
      <c r="BH29" t="s">
        <v>74</v>
      </c>
      <c r="BI29">
        <v>4</v>
      </c>
      <c r="BJ29" t="s">
        <v>471</v>
      </c>
      <c r="BK29" t="s">
        <v>98</v>
      </c>
      <c r="BL29" t="s">
        <v>471</v>
      </c>
      <c r="BM29" t="s">
        <v>473</v>
      </c>
      <c r="BN29" t="s">
        <v>74</v>
      </c>
      <c r="BO29" t="s">
        <v>74</v>
      </c>
      <c r="BP29" t="s">
        <v>74</v>
      </c>
      <c r="BQ29" t="s">
        <v>74</v>
      </c>
      <c r="BR29" t="s">
        <v>101</v>
      </c>
      <c r="BS29" t="s">
        <v>490</v>
      </c>
      <c r="BT29" t="str">
        <f>HYPERLINK("https%3A%2F%2Fwww.webofscience.com%2Fwos%2Fwoscc%2Ffull-record%2FWOS:000072436000019","View Full Record in Web of Science")</f>
        <v>View Full Record in Web of Science</v>
      </c>
    </row>
    <row r="30" spans="1:72" x14ac:dyDescent="0.15">
      <c r="A30" t="s">
        <v>72</v>
      </c>
      <c r="B30" t="s">
        <v>491</v>
      </c>
      <c r="C30" t="s">
        <v>74</v>
      </c>
      <c r="D30" t="s">
        <v>74</v>
      </c>
      <c r="E30" t="s">
        <v>74</v>
      </c>
      <c r="F30" t="s">
        <v>491</v>
      </c>
      <c r="G30" t="s">
        <v>74</v>
      </c>
      <c r="H30" t="s">
        <v>74</v>
      </c>
      <c r="I30" t="s">
        <v>492</v>
      </c>
      <c r="J30" t="s">
        <v>493</v>
      </c>
      <c r="K30" t="s">
        <v>74</v>
      </c>
      <c r="L30" t="s">
        <v>74</v>
      </c>
      <c r="M30" t="s">
        <v>77</v>
      </c>
      <c r="N30" t="s">
        <v>494</v>
      </c>
      <c r="O30" t="s">
        <v>74</v>
      </c>
      <c r="P30" t="s">
        <v>74</v>
      </c>
      <c r="Q30" t="s">
        <v>74</v>
      </c>
      <c r="R30" t="s">
        <v>74</v>
      </c>
      <c r="S30" t="s">
        <v>74</v>
      </c>
      <c r="T30" t="s">
        <v>74</v>
      </c>
      <c r="U30" t="s">
        <v>495</v>
      </c>
      <c r="V30" t="s">
        <v>496</v>
      </c>
      <c r="W30" t="s">
        <v>497</v>
      </c>
      <c r="X30" t="s">
        <v>498</v>
      </c>
      <c r="Y30" t="s">
        <v>499</v>
      </c>
      <c r="Z30" t="s">
        <v>74</v>
      </c>
      <c r="AA30" t="s">
        <v>500</v>
      </c>
      <c r="AB30" t="s">
        <v>501</v>
      </c>
      <c r="AC30" t="s">
        <v>74</v>
      </c>
      <c r="AD30" t="s">
        <v>74</v>
      </c>
      <c r="AE30" t="s">
        <v>74</v>
      </c>
      <c r="AF30" t="s">
        <v>74</v>
      </c>
      <c r="AG30">
        <v>104</v>
      </c>
      <c r="AH30">
        <v>154</v>
      </c>
      <c r="AI30">
        <v>163</v>
      </c>
      <c r="AJ30">
        <v>2</v>
      </c>
      <c r="AK30">
        <v>29</v>
      </c>
      <c r="AL30" t="s">
        <v>87</v>
      </c>
      <c r="AM30" t="s">
        <v>88</v>
      </c>
      <c r="AN30" t="s">
        <v>89</v>
      </c>
      <c r="AO30" t="s">
        <v>502</v>
      </c>
      <c r="AP30" t="s">
        <v>74</v>
      </c>
      <c r="AQ30" t="s">
        <v>74</v>
      </c>
      <c r="AR30" t="s">
        <v>503</v>
      </c>
      <c r="AS30" t="s">
        <v>504</v>
      </c>
      <c r="AT30" t="s">
        <v>219</v>
      </c>
      <c r="AU30">
        <v>1998</v>
      </c>
      <c r="AV30">
        <v>12</v>
      </c>
      <c r="AW30">
        <v>1</v>
      </c>
      <c r="AX30" t="s">
        <v>74</v>
      </c>
      <c r="AY30" t="s">
        <v>74</v>
      </c>
      <c r="AZ30" t="s">
        <v>74</v>
      </c>
      <c r="BA30" t="s">
        <v>74</v>
      </c>
      <c r="BB30">
        <v>165</v>
      </c>
      <c r="BC30">
        <v>191</v>
      </c>
      <c r="BD30" t="s">
        <v>74</v>
      </c>
      <c r="BE30" t="s">
        <v>505</v>
      </c>
      <c r="BF30" t="str">
        <f>HYPERLINK("http://dx.doi.org/10.1029/97GB03658","http://dx.doi.org/10.1029/97GB03658")</f>
        <v>http://dx.doi.org/10.1029/97GB03658</v>
      </c>
      <c r="BG30" t="s">
        <v>74</v>
      </c>
      <c r="BH30" t="s">
        <v>74</v>
      </c>
      <c r="BI30">
        <v>27</v>
      </c>
      <c r="BJ30" t="s">
        <v>506</v>
      </c>
      <c r="BK30" t="s">
        <v>98</v>
      </c>
      <c r="BL30" t="s">
        <v>507</v>
      </c>
      <c r="BM30" t="s">
        <v>508</v>
      </c>
      <c r="BN30" t="s">
        <v>74</v>
      </c>
      <c r="BO30" t="s">
        <v>509</v>
      </c>
      <c r="BP30" t="s">
        <v>74</v>
      </c>
      <c r="BQ30" t="s">
        <v>74</v>
      </c>
      <c r="BR30" t="s">
        <v>101</v>
      </c>
      <c r="BS30" t="s">
        <v>510</v>
      </c>
      <c r="BT30" t="str">
        <f>HYPERLINK("https%3A%2F%2Fwww.webofscience.com%2Fwos%2Fwoscc%2Ffull-record%2FWOS:000072475200011","View Full Record in Web of Science")</f>
        <v>View Full Record in Web of Science</v>
      </c>
    </row>
    <row r="31" spans="1:72" x14ac:dyDescent="0.15">
      <c r="A31" t="s">
        <v>72</v>
      </c>
      <c r="B31" t="s">
        <v>511</v>
      </c>
      <c r="C31" t="s">
        <v>74</v>
      </c>
      <c r="D31" t="s">
        <v>74</v>
      </c>
      <c r="E31" t="s">
        <v>74</v>
      </c>
      <c r="F31" t="s">
        <v>511</v>
      </c>
      <c r="G31" t="s">
        <v>74</v>
      </c>
      <c r="H31" t="s">
        <v>74</v>
      </c>
      <c r="I31" t="s">
        <v>512</v>
      </c>
      <c r="J31" t="s">
        <v>513</v>
      </c>
      <c r="K31" t="s">
        <v>74</v>
      </c>
      <c r="L31" t="s">
        <v>74</v>
      </c>
      <c r="M31" t="s">
        <v>77</v>
      </c>
      <c r="N31" t="s">
        <v>78</v>
      </c>
      <c r="O31" t="s">
        <v>74</v>
      </c>
      <c r="P31" t="s">
        <v>74</v>
      </c>
      <c r="Q31" t="s">
        <v>74</v>
      </c>
      <c r="R31" t="s">
        <v>74</v>
      </c>
      <c r="S31" t="s">
        <v>74</v>
      </c>
      <c r="T31" t="s">
        <v>514</v>
      </c>
      <c r="U31" t="s">
        <v>515</v>
      </c>
      <c r="V31" t="s">
        <v>516</v>
      </c>
      <c r="W31" t="s">
        <v>517</v>
      </c>
      <c r="X31" t="s">
        <v>518</v>
      </c>
      <c r="Y31" t="s">
        <v>519</v>
      </c>
      <c r="Z31" t="s">
        <v>74</v>
      </c>
      <c r="AA31" t="s">
        <v>74</v>
      </c>
      <c r="AB31" t="s">
        <v>74</v>
      </c>
      <c r="AC31" t="s">
        <v>74</v>
      </c>
      <c r="AD31" t="s">
        <v>74</v>
      </c>
      <c r="AE31" t="s">
        <v>74</v>
      </c>
      <c r="AF31" t="s">
        <v>74</v>
      </c>
      <c r="AG31">
        <v>14</v>
      </c>
      <c r="AH31">
        <v>4</v>
      </c>
      <c r="AI31">
        <v>4</v>
      </c>
      <c r="AJ31">
        <v>2</v>
      </c>
      <c r="AK31">
        <v>6</v>
      </c>
      <c r="AL31" t="s">
        <v>520</v>
      </c>
      <c r="AM31" t="s">
        <v>244</v>
      </c>
      <c r="AN31" t="s">
        <v>521</v>
      </c>
      <c r="AO31" t="s">
        <v>522</v>
      </c>
      <c r="AP31" t="s">
        <v>74</v>
      </c>
      <c r="AQ31" t="s">
        <v>74</v>
      </c>
      <c r="AR31" t="s">
        <v>523</v>
      </c>
      <c r="AS31" t="s">
        <v>524</v>
      </c>
      <c r="AT31" t="s">
        <v>219</v>
      </c>
      <c r="AU31">
        <v>1998</v>
      </c>
      <c r="AV31">
        <v>36</v>
      </c>
      <c r="AW31">
        <v>2</v>
      </c>
      <c r="AX31" t="s">
        <v>74</v>
      </c>
      <c r="AY31" t="s">
        <v>74</v>
      </c>
      <c r="AZ31" t="s">
        <v>74</v>
      </c>
      <c r="BA31" t="s">
        <v>74</v>
      </c>
      <c r="BB31">
        <v>518</v>
      </c>
      <c r="BC31">
        <v>525</v>
      </c>
      <c r="BD31" t="s">
        <v>74</v>
      </c>
      <c r="BE31" t="s">
        <v>525</v>
      </c>
      <c r="BF31" t="str">
        <f>HYPERLINK("http://dx.doi.org/10.1109/36.662734","http://dx.doi.org/10.1109/36.662734")</f>
        <v>http://dx.doi.org/10.1109/36.662734</v>
      </c>
      <c r="BG31" t="s">
        <v>74</v>
      </c>
      <c r="BH31" t="s">
        <v>74</v>
      </c>
      <c r="BI31">
        <v>8</v>
      </c>
      <c r="BJ31" t="s">
        <v>526</v>
      </c>
      <c r="BK31" t="s">
        <v>98</v>
      </c>
      <c r="BL31" t="s">
        <v>527</v>
      </c>
      <c r="BM31" t="s">
        <v>528</v>
      </c>
      <c r="BN31" t="s">
        <v>74</v>
      </c>
      <c r="BO31" t="s">
        <v>74</v>
      </c>
      <c r="BP31" t="s">
        <v>74</v>
      </c>
      <c r="BQ31" t="s">
        <v>74</v>
      </c>
      <c r="BR31" t="s">
        <v>101</v>
      </c>
      <c r="BS31" t="s">
        <v>529</v>
      </c>
      <c r="BT31" t="str">
        <f>HYPERLINK("https%3A%2F%2Fwww.webofscience.com%2Fwos%2Fwoscc%2Ffull-record%2FWOS:000072566800013","View Full Record in Web of Science")</f>
        <v>View Full Record in Web of Science</v>
      </c>
    </row>
    <row r="32" spans="1:72" x14ac:dyDescent="0.15">
      <c r="A32" t="s">
        <v>72</v>
      </c>
      <c r="B32" t="s">
        <v>530</v>
      </c>
      <c r="C32" t="s">
        <v>74</v>
      </c>
      <c r="D32" t="s">
        <v>74</v>
      </c>
      <c r="E32" t="s">
        <v>74</v>
      </c>
      <c r="F32" t="s">
        <v>530</v>
      </c>
      <c r="G32" t="s">
        <v>74</v>
      </c>
      <c r="H32" t="s">
        <v>74</v>
      </c>
      <c r="I32" t="s">
        <v>531</v>
      </c>
      <c r="J32" t="s">
        <v>532</v>
      </c>
      <c r="K32" t="s">
        <v>74</v>
      </c>
      <c r="L32" t="s">
        <v>74</v>
      </c>
      <c r="M32" t="s">
        <v>77</v>
      </c>
      <c r="N32" t="s">
        <v>212</v>
      </c>
      <c r="O32" t="s">
        <v>74</v>
      </c>
      <c r="P32" t="s">
        <v>74</v>
      </c>
      <c r="Q32" t="s">
        <v>74</v>
      </c>
      <c r="R32" t="s">
        <v>74</v>
      </c>
      <c r="S32" t="s">
        <v>74</v>
      </c>
      <c r="T32" t="s">
        <v>74</v>
      </c>
      <c r="U32" t="s">
        <v>74</v>
      </c>
      <c r="V32" t="s">
        <v>74</v>
      </c>
      <c r="W32" t="s">
        <v>533</v>
      </c>
      <c r="X32" t="s">
        <v>74</v>
      </c>
      <c r="Y32" t="s">
        <v>534</v>
      </c>
      <c r="Z32" t="s">
        <v>74</v>
      </c>
      <c r="AA32" t="s">
        <v>74</v>
      </c>
      <c r="AB32" t="s">
        <v>74</v>
      </c>
      <c r="AC32" t="s">
        <v>74</v>
      </c>
      <c r="AD32" t="s">
        <v>74</v>
      </c>
      <c r="AE32" t="s">
        <v>74</v>
      </c>
      <c r="AF32" t="s">
        <v>74</v>
      </c>
      <c r="AG32">
        <v>0</v>
      </c>
      <c r="AH32">
        <v>0</v>
      </c>
      <c r="AI32">
        <v>0</v>
      </c>
      <c r="AJ32">
        <v>0</v>
      </c>
      <c r="AK32">
        <v>0</v>
      </c>
      <c r="AL32" t="s">
        <v>535</v>
      </c>
      <c r="AM32" t="s">
        <v>536</v>
      </c>
      <c r="AN32" t="s">
        <v>537</v>
      </c>
      <c r="AO32" t="s">
        <v>538</v>
      </c>
      <c r="AP32" t="s">
        <v>74</v>
      </c>
      <c r="AQ32" t="s">
        <v>74</v>
      </c>
      <c r="AR32" t="s">
        <v>539</v>
      </c>
      <c r="AS32" t="s">
        <v>540</v>
      </c>
      <c r="AT32" t="s">
        <v>219</v>
      </c>
      <c r="AU32">
        <v>1998</v>
      </c>
      <c r="AV32">
        <v>27</v>
      </c>
      <c r="AW32">
        <v>1</v>
      </c>
      <c r="AX32" t="s">
        <v>74</v>
      </c>
      <c r="AY32" t="s">
        <v>74</v>
      </c>
      <c r="AZ32" t="s">
        <v>74</v>
      </c>
      <c r="BA32" t="s">
        <v>74</v>
      </c>
      <c r="BB32" t="s">
        <v>541</v>
      </c>
      <c r="BC32" t="s">
        <v>541</v>
      </c>
      <c r="BD32" t="s">
        <v>74</v>
      </c>
      <c r="BE32" t="s">
        <v>74</v>
      </c>
      <c r="BF32" t="s">
        <v>74</v>
      </c>
      <c r="BG32" t="s">
        <v>74</v>
      </c>
      <c r="BH32" t="s">
        <v>74</v>
      </c>
      <c r="BI32">
        <v>1</v>
      </c>
      <c r="BJ32" t="s">
        <v>97</v>
      </c>
      <c r="BK32" t="s">
        <v>98</v>
      </c>
      <c r="BL32" t="s">
        <v>97</v>
      </c>
      <c r="BM32" t="s">
        <v>542</v>
      </c>
      <c r="BN32" t="s">
        <v>74</v>
      </c>
      <c r="BO32" t="s">
        <v>74</v>
      </c>
      <c r="BP32" t="s">
        <v>74</v>
      </c>
      <c r="BQ32" t="s">
        <v>74</v>
      </c>
      <c r="BR32" t="s">
        <v>101</v>
      </c>
      <c r="BS32" t="s">
        <v>543</v>
      </c>
      <c r="BT32" t="str">
        <f>HYPERLINK("https%3A%2F%2Fwww.webofscience.com%2Fwos%2Fwoscc%2Ffull-record%2FWOS:000073494900001","View Full Record in Web of Science")</f>
        <v>View Full Record in Web of Science</v>
      </c>
    </row>
    <row r="33" spans="1:72" x14ac:dyDescent="0.15">
      <c r="A33" t="s">
        <v>72</v>
      </c>
      <c r="B33" t="s">
        <v>544</v>
      </c>
      <c r="C33" t="s">
        <v>74</v>
      </c>
      <c r="D33" t="s">
        <v>74</v>
      </c>
      <c r="E33" t="s">
        <v>74</v>
      </c>
      <c r="F33" t="s">
        <v>544</v>
      </c>
      <c r="G33" t="s">
        <v>74</v>
      </c>
      <c r="H33" t="s">
        <v>74</v>
      </c>
      <c r="I33" t="s">
        <v>545</v>
      </c>
      <c r="J33" t="s">
        <v>546</v>
      </c>
      <c r="K33" t="s">
        <v>74</v>
      </c>
      <c r="L33" t="s">
        <v>74</v>
      </c>
      <c r="M33" t="s">
        <v>77</v>
      </c>
      <c r="N33" t="s">
        <v>78</v>
      </c>
      <c r="O33" t="s">
        <v>74</v>
      </c>
      <c r="P33" t="s">
        <v>74</v>
      </c>
      <c r="Q33" t="s">
        <v>74</v>
      </c>
      <c r="R33" t="s">
        <v>74</v>
      </c>
      <c r="S33" t="s">
        <v>74</v>
      </c>
      <c r="T33" t="s">
        <v>74</v>
      </c>
      <c r="U33" t="s">
        <v>74</v>
      </c>
      <c r="V33" t="s">
        <v>547</v>
      </c>
      <c r="W33" t="s">
        <v>548</v>
      </c>
      <c r="X33" t="s">
        <v>74</v>
      </c>
      <c r="Y33" t="s">
        <v>549</v>
      </c>
      <c r="Z33" t="s">
        <v>74</v>
      </c>
      <c r="AA33" t="s">
        <v>550</v>
      </c>
      <c r="AB33" t="s">
        <v>551</v>
      </c>
      <c r="AC33" t="s">
        <v>74</v>
      </c>
      <c r="AD33" t="s">
        <v>74</v>
      </c>
      <c r="AE33" t="s">
        <v>74</v>
      </c>
      <c r="AF33" t="s">
        <v>74</v>
      </c>
      <c r="AG33">
        <v>9</v>
      </c>
      <c r="AH33">
        <v>1</v>
      </c>
      <c r="AI33">
        <v>1</v>
      </c>
      <c r="AJ33">
        <v>0</v>
      </c>
      <c r="AK33">
        <v>0</v>
      </c>
      <c r="AL33" t="s">
        <v>552</v>
      </c>
      <c r="AM33" t="s">
        <v>553</v>
      </c>
      <c r="AN33" t="s">
        <v>554</v>
      </c>
      <c r="AO33" t="s">
        <v>555</v>
      </c>
      <c r="AP33" t="s">
        <v>74</v>
      </c>
      <c r="AQ33" t="s">
        <v>74</v>
      </c>
      <c r="AR33" t="s">
        <v>556</v>
      </c>
      <c r="AS33" t="s">
        <v>557</v>
      </c>
      <c r="AT33" t="s">
        <v>219</v>
      </c>
      <c r="AU33">
        <v>1998</v>
      </c>
      <c r="AV33">
        <v>75</v>
      </c>
      <c r="AW33">
        <v>1</v>
      </c>
      <c r="AX33" t="s">
        <v>74</v>
      </c>
      <c r="AY33" t="s">
        <v>74</v>
      </c>
      <c r="AZ33" t="s">
        <v>74</v>
      </c>
      <c r="BA33" t="s">
        <v>74</v>
      </c>
      <c r="BB33">
        <v>41</v>
      </c>
      <c r="BC33">
        <v>57</v>
      </c>
      <c r="BD33" t="s">
        <v>74</v>
      </c>
      <c r="BE33" t="s">
        <v>74</v>
      </c>
      <c r="BF33" t="s">
        <v>74</v>
      </c>
      <c r="BG33" t="s">
        <v>74</v>
      </c>
      <c r="BH33" t="s">
        <v>74</v>
      </c>
      <c r="BI33">
        <v>17</v>
      </c>
      <c r="BJ33" t="s">
        <v>558</v>
      </c>
      <c r="BK33" t="s">
        <v>98</v>
      </c>
      <c r="BL33" t="s">
        <v>559</v>
      </c>
      <c r="BM33" t="s">
        <v>560</v>
      </c>
      <c r="BN33" t="s">
        <v>74</v>
      </c>
      <c r="BO33" t="s">
        <v>74</v>
      </c>
      <c r="BP33" t="s">
        <v>74</v>
      </c>
      <c r="BQ33" t="s">
        <v>74</v>
      </c>
      <c r="BR33" t="s">
        <v>101</v>
      </c>
      <c r="BS33" t="s">
        <v>561</v>
      </c>
      <c r="BT33" t="str">
        <f>HYPERLINK("https%3A%2F%2Fwww.webofscience.com%2Fwos%2Fwoscc%2Ffull-record%2FWOS:000074428000005","View Full Record in Web of Science")</f>
        <v>View Full Record in Web of Science</v>
      </c>
    </row>
    <row r="34" spans="1:72" x14ac:dyDescent="0.15">
      <c r="A34" t="s">
        <v>72</v>
      </c>
      <c r="B34" t="s">
        <v>562</v>
      </c>
      <c r="C34" t="s">
        <v>74</v>
      </c>
      <c r="D34" t="s">
        <v>74</v>
      </c>
      <c r="E34" t="s">
        <v>74</v>
      </c>
      <c r="F34" t="s">
        <v>562</v>
      </c>
      <c r="G34" t="s">
        <v>74</v>
      </c>
      <c r="H34" t="s">
        <v>74</v>
      </c>
      <c r="I34" t="s">
        <v>563</v>
      </c>
      <c r="J34" t="s">
        <v>564</v>
      </c>
      <c r="K34" t="s">
        <v>74</v>
      </c>
      <c r="L34" t="s">
        <v>74</v>
      </c>
      <c r="M34" t="s">
        <v>77</v>
      </c>
      <c r="N34" t="s">
        <v>494</v>
      </c>
      <c r="O34" t="s">
        <v>74</v>
      </c>
      <c r="P34" t="s">
        <v>74</v>
      </c>
      <c r="Q34" t="s">
        <v>74</v>
      </c>
      <c r="R34" t="s">
        <v>74</v>
      </c>
      <c r="S34" t="s">
        <v>74</v>
      </c>
      <c r="T34" t="s">
        <v>565</v>
      </c>
      <c r="U34" t="s">
        <v>566</v>
      </c>
      <c r="V34" t="s">
        <v>567</v>
      </c>
      <c r="W34" t="s">
        <v>568</v>
      </c>
      <c r="X34" t="s">
        <v>569</v>
      </c>
      <c r="Y34" t="s">
        <v>570</v>
      </c>
      <c r="Z34" t="s">
        <v>74</v>
      </c>
      <c r="AA34" t="s">
        <v>74</v>
      </c>
      <c r="AB34" t="s">
        <v>74</v>
      </c>
      <c r="AC34" t="s">
        <v>74</v>
      </c>
      <c r="AD34" t="s">
        <v>74</v>
      </c>
      <c r="AE34" t="s">
        <v>74</v>
      </c>
      <c r="AF34" t="s">
        <v>74</v>
      </c>
      <c r="AG34">
        <v>36</v>
      </c>
      <c r="AH34">
        <v>118</v>
      </c>
      <c r="AI34">
        <v>133</v>
      </c>
      <c r="AJ34">
        <v>1</v>
      </c>
      <c r="AK34">
        <v>40</v>
      </c>
      <c r="AL34" t="s">
        <v>451</v>
      </c>
      <c r="AM34" t="s">
        <v>214</v>
      </c>
      <c r="AN34" t="s">
        <v>452</v>
      </c>
      <c r="AO34" t="s">
        <v>571</v>
      </c>
      <c r="AP34" t="s">
        <v>74</v>
      </c>
      <c r="AQ34" t="s">
        <v>74</v>
      </c>
      <c r="AR34" t="s">
        <v>572</v>
      </c>
      <c r="AS34" t="s">
        <v>573</v>
      </c>
      <c r="AT34" t="s">
        <v>219</v>
      </c>
      <c r="AU34">
        <v>1998</v>
      </c>
      <c r="AV34">
        <v>28</v>
      </c>
      <c r="AW34">
        <v>3</v>
      </c>
      <c r="AX34" t="s">
        <v>74</v>
      </c>
      <c r="AY34" t="s">
        <v>74</v>
      </c>
      <c r="AZ34" t="s">
        <v>74</v>
      </c>
      <c r="BA34" t="s">
        <v>74</v>
      </c>
      <c r="BB34">
        <v>461</v>
      </c>
      <c r="BC34">
        <v>474</v>
      </c>
      <c r="BD34" t="s">
        <v>74</v>
      </c>
      <c r="BE34" t="s">
        <v>574</v>
      </c>
      <c r="BF34" t="str">
        <f>HYPERLINK("http://dx.doi.org/10.1016/S0020-7519(97)00209-9","http://dx.doi.org/10.1016/S0020-7519(97)00209-9")</f>
        <v>http://dx.doi.org/10.1016/S0020-7519(97)00209-9</v>
      </c>
      <c r="BG34" t="s">
        <v>74</v>
      </c>
      <c r="BH34" t="s">
        <v>74</v>
      </c>
      <c r="BI34">
        <v>14</v>
      </c>
      <c r="BJ34" t="s">
        <v>575</v>
      </c>
      <c r="BK34" t="s">
        <v>98</v>
      </c>
      <c r="BL34" t="s">
        <v>575</v>
      </c>
      <c r="BM34" t="s">
        <v>576</v>
      </c>
      <c r="BN34">
        <v>9559364</v>
      </c>
      <c r="BO34" t="s">
        <v>74</v>
      </c>
      <c r="BP34" t="s">
        <v>74</v>
      </c>
      <c r="BQ34" t="s">
        <v>74</v>
      </c>
      <c r="BR34" t="s">
        <v>101</v>
      </c>
      <c r="BS34" t="s">
        <v>577</v>
      </c>
      <c r="BT34" t="str">
        <f>HYPERLINK("https%3A%2F%2Fwww.webofscience.com%2Fwos%2Fwoscc%2Ffull-record%2FWOS:000072687200009","View Full Record in Web of Science")</f>
        <v>View Full Record in Web of Science</v>
      </c>
    </row>
    <row r="35" spans="1:72" x14ac:dyDescent="0.15">
      <c r="A35" t="s">
        <v>72</v>
      </c>
      <c r="B35" t="s">
        <v>578</v>
      </c>
      <c r="C35" t="s">
        <v>74</v>
      </c>
      <c r="D35" t="s">
        <v>74</v>
      </c>
      <c r="E35" t="s">
        <v>74</v>
      </c>
      <c r="F35" t="s">
        <v>578</v>
      </c>
      <c r="G35" t="s">
        <v>74</v>
      </c>
      <c r="H35" t="s">
        <v>74</v>
      </c>
      <c r="I35" t="s">
        <v>579</v>
      </c>
      <c r="J35" t="s">
        <v>580</v>
      </c>
      <c r="K35" t="s">
        <v>74</v>
      </c>
      <c r="L35" t="s">
        <v>74</v>
      </c>
      <c r="M35" t="s">
        <v>77</v>
      </c>
      <c r="N35" t="s">
        <v>78</v>
      </c>
      <c r="O35" t="s">
        <v>74</v>
      </c>
      <c r="P35" t="s">
        <v>74</v>
      </c>
      <c r="Q35" t="s">
        <v>74</v>
      </c>
      <c r="R35" t="s">
        <v>74</v>
      </c>
      <c r="S35" t="s">
        <v>74</v>
      </c>
      <c r="T35" t="s">
        <v>581</v>
      </c>
      <c r="U35" t="s">
        <v>582</v>
      </c>
      <c r="V35" t="s">
        <v>583</v>
      </c>
      <c r="W35" t="s">
        <v>584</v>
      </c>
      <c r="X35" t="s">
        <v>585</v>
      </c>
      <c r="Y35" t="s">
        <v>586</v>
      </c>
      <c r="Z35" t="s">
        <v>74</v>
      </c>
      <c r="AA35" t="s">
        <v>74</v>
      </c>
      <c r="AB35" t="s">
        <v>74</v>
      </c>
      <c r="AC35" t="s">
        <v>587</v>
      </c>
      <c r="AD35" t="s">
        <v>588</v>
      </c>
      <c r="AE35" t="s">
        <v>74</v>
      </c>
      <c r="AF35" t="s">
        <v>74</v>
      </c>
      <c r="AG35">
        <v>48</v>
      </c>
      <c r="AH35">
        <v>65</v>
      </c>
      <c r="AI35">
        <v>73</v>
      </c>
      <c r="AJ35">
        <v>0</v>
      </c>
      <c r="AK35">
        <v>16</v>
      </c>
      <c r="AL35" t="s">
        <v>589</v>
      </c>
      <c r="AM35" t="s">
        <v>590</v>
      </c>
      <c r="AN35" t="s">
        <v>591</v>
      </c>
      <c r="AO35" t="s">
        <v>592</v>
      </c>
      <c r="AP35" t="s">
        <v>74</v>
      </c>
      <c r="AQ35" t="s">
        <v>74</v>
      </c>
      <c r="AR35" t="s">
        <v>593</v>
      </c>
      <c r="AS35" t="s">
        <v>594</v>
      </c>
      <c r="AT35" t="s">
        <v>595</v>
      </c>
      <c r="AU35">
        <v>1998</v>
      </c>
      <c r="AV35">
        <v>19</v>
      </c>
      <c r="AW35">
        <v>2</v>
      </c>
      <c r="AX35" t="s">
        <v>74</v>
      </c>
      <c r="AY35" t="s">
        <v>74</v>
      </c>
      <c r="AZ35" t="s">
        <v>74</v>
      </c>
      <c r="BA35" t="s">
        <v>74</v>
      </c>
      <c r="BB35">
        <v>207</v>
      </c>
      <c r="BC35">
        <v>214</v>
      </c>
      <c r="BD35" t="s">
        <v>74</v>
      </c>
      <c r="BE35" t="s">
        <v>74</v>
      </c>
      <c r="BF35" t="s">
        <v>74</v>
      </c>
      <c r="BG35" t="s">
        <v>74</v>
      </c>
      <c r="BH35" t="s">
        <v>74</v>
      </c>
      <c r="BI35">
        <v>8</v>
      </c>
      <c r="BJ35" t="s">
        <v>596</v>
      </c>
      <c r="BK35" t="s">
        <v>98</v>
      </c>
      <c r="BL35" t="s">
        <v>597</v>
      </c>
      <c r="BM35" t="s">
        <v>598</v>
      </c>
      <c r="BN35">
        <v>9570745</v>
      </c>
      <c r="BO35" t="s">
        <v>74</v>
      </c>
      <c r="BP35" t="s">
        <v>74</v>
      </c>
      <c r="BQ35" t="s">
        <v>74</v>
      </c>
      <c r="BR35" t="s">
        <v>101</v>
      </c>
      <c r="BS35" t="s">
        <v>599</v>
      </c>
      <c r="BT35" t="str">
        <f>HYPERLINK("https%3A%2F%2Fwww.webofscience.com%2Fwos%2Fwoscc%2Ffull-record%2FWOS:000073072900011","View Full Record in Web of Science")</f>
        <v>View Full Record in Web of Science</v>
      </c>
    </row>
    <row r="36" spans="1:72" x14ac:dyDescent="0.15">
      <c r="A36" t="s">
        <v>72</v>
      </c>
      <c r="B36" t="s">
        <v>600</v>
      </c>
      <c r="C36" t="s">
        <v>74</v>
      </c>
      <c r="D36" t="s">
        <v>74</v>
      </c>
      <c r="E36" t="s">
        <v>74</v>
      </c>
      <c r="F36" t="s">
        <v>600</v>
      </c>
      <c r="G36" t="s">
        <v>74</v>
      </c>
      <c r="H36" t="s">
        <v>74</v>
      </c>
      <c r="I36" t="s">
        <v>601</v>
      </c>
      <c r="J36" t="s">
        <v>602</v>
      </c>
      <c r="K36" t="s">
        <v>74</v>
      </c>
      <c r="L36" t="s">
        <v>74</v>
      </c>
      <c r="M36" t="s">
        <v>77</v>
      </c>
      <c r="N36" t="s">
        <v>78</v>
      </c>
      <c r="O36" t="s">
        <v>74</v>
      </c>
      <c r="P36" t="s">
        <v>74</v>
      </c>
      <c r="Q36" t="s">
        <v>74</v>
      </c>
      <c r="R36" t="s">
        <v>74</v>
      </c>
      <c r="S36" t="s">
        <v>74</v>
      </c>
      <c r="T36" t="s">
        <v>74</v>
      </c>
      <c r="U36" t="s">
        <v>603</v>
      </c>
      <c r="V36" t="s">
        <v>604</v>
      </c>
      <c r="W36" t="s">
        <v>605</v>
      </c>
      <c r="X36" t="s">
        <v>606</v>
      </c>
      <c r="Y36" t="s">
        <v>607</v>
      </c>
      <c r="Z36" t="s">
        <v>74</v>
      </c>
      <c r="AA36" t="s">
        <v>608</v>
      </c>
      <c r="AB36" t="s">
        <v>609</v>
      </c>
      <c r="AC36" t="s">
        <v>74</v>
      </c>
      <c r="AD36" t="s">
        <v>74</v>
      </c>
      <c r="AE36" t="s">
        <v>74</v>
      </c>
      <c r="AF36" t="s">
        <v>74</v>
      </c>
      <c r="AG36">
        <v>38</v>
      </c>
      <c r="AH36">
        <v>18</v>
      </c>
      <c r="AI36">
        <v>19</v>
      </c>
      <c r="AJ36">
        <v>0</v>
      </c>
      <c r="AK36">
        <v>2</v>
      </c>
      <c r="AL36" t="s">
        <v>451</v>
      </c>
      <c r="AM36" t="s">
        <v>214</v>
      </c>
      <c r="AN36" t="s">
        <v>452</v>
      </c>
      <c r="AO36" t="s">
        <v>610</v>
      </c>
      <c r="AP36" t="s">
        <v>74</v>
      </c>
      <c r="AQ36" t="s">
        <v>74</v>
      </c>
      <c r="AR36" t="s">
        <v>611</v>
      </c>
      <c r="AS36" t="s">
        <v>612</v>
      </c>
      <c r="AT36" t="s">
        <v>219</v>
      </c>
      <c r="AU36">
        <v>1998</v>
      </c>
      <c r="AV36">
        <v>60</v>
      </c>
      <c r="AW36">
        <v>4</v>
      </c>
      <c r="AX36" t="s">
        <v>74</v>
      </c>
      <c r="AY36" t="s">
        <v>74</v>
      </c>
      <c r="AZ36" t="s">
        <v>74</v>
      </c>
      <c r="BA36" t="s">
        <v>74</v>
      </c>
      <c r="BB36">
        <v>471</v>
      </c>
      <c r="BC36">
        <v>491</v>
      </c>
      <c r="BD36" t="s">
        <v>74</v>
      </c>
      <c r="BE36" t="s">
        <v>613</v>
      </c>
      <c r="BF36" t="str">
        <f>HYPERLINK("http://dx.doi.org/10.1016/S1364-6826(97)00095-3","http://dx.doi.org/10.1016/S1364-6826(97)00095-3")</f>
        <v>http://dx.doi.org/10.1016/S1364-6826(97)00095-3</v>
      </c>
      <c r="BG36" t="s">
        <v>74</v>
      </c>
      <c r="BH36" t="s">
        <v>74</v>
      </c>
      <c r="BI36">
        <v>21</v>
      </c>
      <c r="BJ36" t="s">
        <v>614</v>
      </c>
      <c r="BK36" t="s">
        <v>98</v>
      </c>
      <c r="BL36" t="s">
        <v>614</v>
      </c>
      <c r="BM36" t="s">
        <v>615</v>
      </c>
      <c r="BN36" t="s">
        <v>74</v>
      </c>
      <c r="BO36" t="s">
        <v>74</v>
      </c>
      <c r="BP36" t="s">
        <v>74</v>
      </c>
      <c r="BQ36" t="s">
        <v>74</v>
      </c>
      <c r="BR36" t="s">
        <v>101</v>
      </c>
      <c r="BS36" t="s">
        <v>616</v>
      </c>
      <c r="BT36" t="str">
        <f>HYPERLINK("https%3A%2F%2Fwww.webofscience.com%2Fwos%2Fwoscc%2Ffull-record%2FWOS:000073644600006","View Full Record in Web of Science")</f>
        <v>View Full Record in Web of Science</v>
      </c>
    </row>
    <row r="37" spans="1:72" x14ac:dyDescent="0.15">
      <c r="A37" t="s">
        <v>72</v>
      </c>
      <c r="B37" t="s">
        <v>617</v>
      </c>
      <c r="C37" t="s">
        <v>74</v>
      </c>
      <c r="D37" t="s">
        <v>74</v>
      </c>
      <c r="E37" t="s">
        <v>74</v>
      </c>
      <c r="F37" t="s">
        <v>617</v>
      </c>
      <c r="G37" t="s">
        <v>74</v>
      </c>
      <c r="H37" t="s">
        <v>74</v>
      </c>
      <c r="I37" t="s">
        <v>618</v>
      </c>
      <c r="J37" t="s">
        <v>619</v>
      </c>
      <c r="K37" t="s">
        <v>74</v>
      </c>
      <c r="L37" t="s">
        <v>74</v>
      </c>
      <c r="M37" t="s">
        <v>77</v>
      </c>
      <c r="N37" t="s">
        <v>78</v>
      </c>
      <c r="O37" t="s">
        <v>74</v>
      </c>
      <c r="P37" t="s">
        <v>74</v>
      </c>
      <c r="Q37" t="s">
        <v>74</v>
      </c>
      <c r="R37" t="s">
        <v>74</v>
      </c>
      <c r="S37" t="s">
        <v>74</v>
      </c>
      <c r="T37" t="s">
        <v>74</v>
      </c>
      <c r="U37" t="s">
        <v>620</v>
      </c>
      <c r="V37" t="s">
        <v>621</v>
      </c>
      <c r="W37" t="s">
        <v>622</v>
      </c>
      <c r="X37" t="s">
        <v>623</v>
      </c>
      <c r="Y37" t="s">
        <v>624</v>
      </c>
      <c r="Z37" t="s">
        <v>625</v>
      </c>
      <c r="AA37" t="s">
        <v>626</v>
      </c>
      <c r="AB37" t="s">
        <v>74</v>
      </c>
      <c r="AC37" t="s">
        <v>74</v>
      </c>
      <c r="AD37" t="s">
        <v>74</v>
      </c>
      <c r="AE37" t="s">
        <v>74</v>
      </c>
      <c r="AF37" t="s">
        <v>74</v>
      </c>
      <c r="AG37">
        <v>75</v>
      </c>
      <c r="AH37">
        <v>96</v>
      </c>
      <c r="AI37">
        <v>103</v>
      </c>
      <c r="AJ37">
        <v>2</v>
      </c>
      <c r="AK37">
        <v>10</v>
      </c>
      <c r="AL37" t="s">
        <v>627</v>
      </c>
      <c r="AM37" t="s">
        <v>628</v>
      </c>
      <c r="AN37" t="s">
        <v>629</v>
      </c>
      <c r="AO37" t="s">
        <v>630</v>
      </c>
      <c r="AP37" t="s">
        <v>631</v>
      </c>
      <c r="AQ37" t="s">
        <v>74</v>
      </c>
      <c r="AR37" t="s">
        <v>632</v>
      </c>
      <c r="AS37" t="s">
        <v>633</v>
      </c>
      <c r="AT37" t="s">
        <v>219</v>
      </c>
      <c r="AU37">
        <v>1998</v>
      </c>
      <c r="AV37">
        <v>11</v>
      </c>
      <c r="AW37">
        <v>3</v>
      </c>
      <c r="AX37" t="s">
        <v>74</v>
      </c>
      <c r="AY37" t="s">
        <v>74</v>
      </c>
      <c r="AZ37" t="s">
        <v>74</v>
      </c>
      <c r="BA37" t="s">
        <v>74</v>
      </c>
      <c r="BB37">
        <v>334</v>
      </c>
      <c r="BC37">
        <v>367</v>
      </c>
      <c r="BD37" t="s">
        <v>74</v>
      </c>
      <c r="BE37" t="s">
        <v>634</v>
      </c>
      <c r="BF37" t="str">
        <f>HYPERLINK("http://dx.doi.org/10.1175/1520-0442(1998)011&lt;0334:SATVOA&gt;2.0.CO;2","http://dx.doi.org/10.1175/1520-0442(1998)011&lt;0334:SATVOA&gt;2.0.CO;2")</f>
        <v>http://dx.doi.org/10.1175/1520-0442(1998)011&lt;0334:SATVOA&gt;2.0.CO;2</v>
      </c>
      <c r="BG37" t="s">
        <v>74</v>
      </c>
      <c r="BH37" t="s">
        <v>74</v>
      </c>
      <c r="BI37">
        <v>34</v>
      </c>
      <c r="BJ37" t="s">
        <v>635</v>
      </c>
      <c r="BK37" t="s">
        <v>98</v>
      </c>
      <c r="BL37" t="s">
        <v>635</v>
      </c>
      <c r="BM37" t="s">
        <v>636</v>
      </c>
      <c r="BN37" t="s">
        <v>74</v>
      </c>
      <c r="BO37" t="s">
        <v>637</v>
      </c>
      <c r="BP37" t="s">
        <v>74</v>
      </c>
      <c r="BQ37" t="s">
        <v>74</v>
      </c>
      <c r="BR37" t="s">
        <v>101</v>
      </c>
      <c r="BS37" t="s">
        <v>638</v>
      </c>
      <c r="BT37" t="str">
        <f>HYPERLINK("https%3A%2F%2Fwww.webofscience.com%2Fwos%2Fwoscc%2Ffull-record%2FWOS:000072887500003","View Full Record in Web of Science")</f>
        <v>View Full Record in Web of Science</v>
      </c>
    </row>
    <row r="38" spans="1:72" x14ac:dyDescent="0.15">
      <c r="A38" t="s">
        <v>72</v>
      </c>
      <c r="B38" t="s">
        <v>639</v>
      </c>
      <c r="C38" t="s">
        <v>74</v>
      </c>
      <c r="D38" t="s">
        <v>74</v>
      </c>
      <c r="E38" t="s">
        <v>74</v>
      </c>
      <c r="F38" t="s">
        <v>639</v>
      </c>
      <c r="G38" t="s">
        <v>74</v>
      </c>
      <c r="H38" t="s">
        <v>74</v>
      </c>
      <c r="I38" t="s">
        <v>640</v>
      </c>
      <c r="J38" t="s">
        <v>619</v>
      </c>
      <c r="K38" t="s">
        <v>74</v>
      </c>
      <c r="L38" t="s">
        <v>74</v>
      </c>
      <c r="M38" t="s">
        <v>77</v>
      </c>
      <c r="N38" t="s">
        <v>78</v>
      </c>
      <c r="O38" t="s">
        <v>74</v>
      </c>
      <c r="P38" t="s">
        <v>74</v>
      </c>
      <c r="Q38" t="s">
        <v>74</v>
      </c>
      <c r="R38" t="s">
        <v>74</v>
      </c>
      <c r="S38" t="s">
        <v>74</v>
      </c>
      <c r="T38" t="s">
        <v>74</v>
      </c>
      <c r="U38" t="s">
        <v>641</v>
      </c>
      <c r="V38" t="s">
        <v>642</v>
      </c>
      <c r="W38" t="s">
        <v>643</v>
      </c>
      <c r="X38" t="s">
        <v>644</v>
      </c>
      <c r="Y38" t="s">
        <v>645</v>
      </c>
      <c r="Z38" t="s">
        <v>74</v>
      </c>
      <c r="AA38" t="s">
        <v>626</v>
      </c>
      <c r="AB38" t="s">
        <v>74</v>
      </c>
      <c r="AC38" t="s">
        <v>74</v>
      </c>
      <c r="AD38" t="s">
        <v>74</v>
      </c>
      <c r="AE38" t="s">
        <v>74</v>
      </c>
      <c r="AF38" t="s">
        <v>74</v>
      </c>
      <c r="AG38">
        <v>36</v>
      </c>
      <c r="AH38">
        <v>52</v>
      </c>
      <c r="AI38">
        <v>55</v>
      </c>
      <c r="AJ38">
        <v>0</v>
      </c>
      <c r="AK38">
        <v>4</v>
      </c>
      <c r="AL38" t="s">
        <v>627</v>
      </c>
      <c r="AM38" t="s">
        <v>628</v>
      </c>
      <c r="AN38" t="s">
        <v>629</v>
      </c>
      <c r="AO38" t="s">
        <v>630</v>
      </c>
      <c r="AP38" t="s">
        <v>74</v>
      </c>
      <c r="AQ38" t="s">
        <v>74</v>
      </c>
      <c r="AR38" t="s">
        <v>632</v>
      </c>
      <c r="AS38" t="s">
        <v>633</v>
      </c>
      <c r="AT38" t="s">
        <v>219</v>
      </c>
      <c r="AU38">
        <v>1998</v>
      </c>
      <c r="AV38">
        <v>11</v>
      </c>
      <c r="AW38">
        <v>3</v>
      </c>
      <c r="AX38" t="s">
        <v>74</v>
      </c>
      <c r="AY38" t="s">
        <v>74</v>
      </c>
      <c r="AZ38" t="s">
        <v>74</v>
      </c>
      <c r="BA38" t="s">
        <v>74</v>
      </c>
      <c r="BB38">
        <v>447</v>
      </c>
      <c r="BC38">
        <v>462</v>
      </c>
      <c r="BD38" t="s">
        <v>74</v>
      </c>
      <c r="BE38" t="s">
        <v>646</v>
      </c>
      <c r="BF38" t="str">
        <f>HYPERLINK("http://dx.doi.org/10.1175/1520-0442(1998)011&lt;0447:TIOACR&gt;2.0.CO;2","http://dx.doi.org/10.1175/1520-0442(1998)011&lt;0447:TIOACR&gt;2.0.CO;2")</f>
        <v>http://dx.doi.org/10.1175/1520-0442(1998)011&lt;0447:TIOACR&gt;2.0.CO;2</v>
      </c>
      <c r="BG38" t="s">
        <v>74</v>
      </c>
      <c r="BH38" t="s">
        <v>74</v>
      </c>
      <c r="BI38">
        <v>16</v>
      </c>
      <c r="BJ38" t="s">
        <v>635</v>
      </c>
      <c r="BK38" t="s">
        <v>98</v>
      </c>
      <c r="BL38" t="s">
        <v>635</v>
      </c>
      <c r="BM38" t="s">
        <v>636</v>
      </c>
      <c r="BN38" t="s">
        <v>74</v>
      </c>
      <c r="BO38" t="s">
        <v>647</v>
      </c>
      <c r="BP38" t="s">
        <v>74</v>
      </c>
      <c r="BQ38" t="s">
        <v>74</v>
      </c>
      <c r="BR38" t="s">
        <v>101</v>
      </c>
      <c r="BS38" t="s">
        <v>648</v>
      </c>
      <c r="BT38" t="str">
        <f>HYPERLINK("https%3A%2F%2Fwww.webofscience.com%2Fwos%2Fwoscc%2Ffull-record%2FWOS:000072887500009","View Full Record in Web of Science")</f>
        <v>View Full Record in Web of Science</v>
      </c>
    </row>
    <row r="39" spans="1:72" x14ac:dyDescent="0.15">
      <c r="A39" t="s">
        <v>72</v>
      </c>
      <c r="B39" t="s">
        <v>649</v>
      </c>
      <c r="C39" t="s">
        <v>74</v>
      </c>
      <c r="D39" t="s">
        <v>74</v>
      </c>
      <c r="E39" t="s">
        <v>74</v>
      </c>
      <c r="F39" t="s">
        <v>649</v>
      </c>
      <c r="G39" t="s">
        <v>74</v>
      </c>
      <c r="H39" t="s">
        <v>74</v>
      </c>
      <c r="I39" t="s">
        <v>650</v>
      </c>
      <c r="J39" t="s">
        <v>651</v>
      </c>
      <c r="K39" t="s">
        <v>74</v>
      </c>
      <c r="L39" t="s">
        <v>74</v>
      </c>
      <c r="M39" t="s">
        <v>77</v>
      </c>
      <c r="N39" t="s">
        <v>78</v>
      </c>
      <c r="O39" t="s">
        <v>74</v>
      </c>
      <c r="P39" t="s">
        <v>74</v>
      </c>
      <c r="Q39" t="s">
        <v>74</v>
      </c>
      <c r="R39" t="s">
        <v>74</v>
      </c>
      <c r="S39" t="s">
        <v>74</v>
      </c>
      <c r="T39" t="s">
        <v>652</v>
      </c>
      <c r="U39" t="s">
        <v>653</v>
      </c>
      <c r="V39" t="s">
        <v>654</v>
      </c>
      <c r="W39" t="s">
        <v>655</v>
      </c>
      <c r="X39" t="s">
        <v>656</v>
      </c>
      <c r="Y39" t="s">
        <v>657</v>
      </c>
      <c r="Z39" t="s">
        <v>74</v>
      </c>
      <c r="AA39" t="s">
        <v>74</v>
      </c>
      <c r="AB39" t="s">
        <v>74</v>
      </c>
      <c r="AC39" t="s">
        <v>74</v>
      </c>
      <c r="AD39" t="s">
        <v>74</v>
      </c>
      <c r="AE39" t="s">
        <v>74</v>
      </c>
      <c r="AF39" t="s">
        <v>74</v>
      </c>
      <c r="AG39">
        <v>63</v>
      </c>
      <c r="AH39">
        <v>12</v>
      </c>
      <c r="AI39">
        <v>13</v>
      </c>
      <c r="AJ39">
        <v>0</v>
      </c>
      <c r="AK39">
        <v>7</v>
      </c>
      <c r="AL39" t="s">
        <v>658</v>
      </c>
      <c r="AM39" t="s">
        <v>590</v>
      </c>
      <c r="AN39" t="s">
        <v>659</v>
      </c>
      <c r="AO39" t="s">
        <v>660</v>
      </c>
      <c r="AP39" t="s">
        <v>74</v>
      </c>
      <c r="AQ39" t="s">
        <v>74</v>
      </c>
      <c r="AR39" t="s">
        <v>661</v>
      </c>
      <c r="AS39" t="s">
        <v>662</v>
      </c>
      <c r="AT39" t="s">
        <v>663</v>
      </c>
      <c r="AU39">
        <v>1998</v>
      </c>
      <c r="AV39">
        <v>14</v>
      </c>
      <c r="AW39">
        <v>2</v>
      </c>
      <c r="AX39" t="s">
        <v>74</v>
      </c>
      <c r="AY39" t="s">
        <v>74</v>
      </c>
      <c r="AZ39" t="s">
        <v>74</v>
      </c>
      <c r="BA39" t="s">
        <v>74</v>
      </c>
      <c r="BB39">
        <v>461</v>
      </c>
      <c r="BC39">
        <v>471</v>
      </c>
      <c r="BD39" t="s">
        <v>74</v>
      </c>
      <c r="BE39" t="s">
        <v>74</v>
      </c>
      <c r="BF39" t="s">
        <v>74</v>
      </c>
      <c r="BG39" t="s">
        <v>74</v>
      </c>
      <c r="BH39" t="s">
        <v>74</v>
      </c>
      <c r="BI39">
        <v>11</v>
      </c>
      <c r="BJ39" t="s">
        <v>220</v>
      </c>
      <c r="BK39" t="s">
        <v>98</v>
      </c>
      <c r="BL39" t="s">
        <v>221</v>
      </c>
      <c r="BM39" t="s">
        <v>664</v>
      </c>
      <c r="BN39" t="s">
        <v>74</v>
      </c>
      <c r="BO39" t="s">
        <v>74</v>
      </c>
      <c r="BP39" t="s">
        <v>74</v>
      </c>
      <c r="BQ39" t="s">
        <v>74</v>
      </c>
      <c r="BR39" t="s">
        <v>101</v>
      </c>
      <c r="BS39" t="s">
        <v>665</v>
      </c>
      <c r="BT39" t="str">
        <f>HYPERLINK("https%3A%2F%2Fwww.webofscience.com%2Fwos%2Fwoscc%2Ffull-record%2FWOS:000073189300008","View Full Record in Web of Science")</f>
        <v>View Full Record in Web of Science</v>
      </c>
    </row>
    <row r="40" spans="1:72" x14ac:dyDescent="0.15">
      <c r="A40" t="s">
        <v>72</v>
      </c>
      <c r="B40" t="s">
        <v>666</v>
      </c>
      <c r="C40" t="s">
        <v>74</v>
      </c>
      <c r="D40" t="s">
        <v>74</v>
      </c>
      <c r="E40" t="s">
        <v>74</v>
      </c>
      <c r="F40" t="s">
        <v>666</v>
      </c>
      <c r="G40" t="s">
        <v>74</v>
      </c>
      <c r="H40" t="s">
        <v>74</v>
      </c>
      <c r="I40" t="s">
        <v>667</v>
      </c>
      <c r="J40" t="s">
        <v>668</v>
      </c>
      <c r="K40" t="s">
        <v>74</v>
      </c>
      <c r="L40" t="s">
        <v>74</v>
      </c>
      <c r="M40" t="s">
        <v>77</v>
      </c>
      <c r="N40" t="s">
        <v>78</v>
      </c>
      <c r="O40" t="s">
        <v>74</v>
      </c>
      <c r="P40" t="s">
        <v>74</v>
      </c>
      <c r="Q40" t="s">
        <v>74</v>
      </c>
      <c r="R40" t="s">
        <v>74</v>
      </c>
      <c r="S40" t="s">
        <v>74</v>
      </c>
      <c r="T40" t="s">
        <v>74</v>
      </c>
      <c r="U40" t="s">
        <v>669</v>
      </c>
      <c r="V40" t="s">
        <v>670</v>
      </c>
      <c r="W40" t="s">
        <v>671</v>
      </c>
      <c r="X40" t="s">
        <v>672</v>
      </c>
      <c r="Y40" t="s">
        <v>673</v>
      </c>
      <c r="Z40" t="s">
        <v>74</v>
      </c>
      <c r="AA40" t="s">
        <v>74</v>
      </c>
      <c r="AB40" t="s">
        <v>74</v>
      </c>
      <c r="AC40" t="s">
        <v>74</v>
      </c>
      <c r="AD40" t="s">
        <v>74</v>
      </c>
      <c r="AE40" t="s">
        <v>74</v>
      </c>
      <c r="AF40" t="s">
        <v>74</v>
      </c>
      <c r="AG40">
        <v>17</v>
      </c>
      <c r="AH40">
        <v>39</v>
      </c>
      <c r="AI40">
        <v>43</v>
      </c>
      <c r="AJ40">
        <v>0</v>
      </c>
      <c r="AK40">
        <v>21</v>
      </c>
      <c r="AL40" t="s">
        <v>674</v>
      </c>
      <c r="AM40" t="s">
        <v>675</v>
      </c>
      <c r="AN40" t="s">
        <v>676</v>
      </c>
      <c r="AO40" t="s">
        <v>677</v>
      </c>
      <c r="AP40" t="s">
        <v>74</v>
      </c>
      <c r="AQ40" t="s">
        <v>74</v>
      </c>
      <c r="AR40" t="s">
        <v>678</v>
      </c>
      <c r="AS40" t="s">
        <v>679</v>
      </c>
      <c r="AT40" t="s">
        <v>663</v>
      </c>
      <c r="AU40">
        <v>1998</v>
      </c>
      <c r="AV40">
        <v>69</v>
      </c>
      <c r="AW40">
        <v>2</v>
      </c>
      <c r="AX40" t="s">
        <v>74</v>
      </c>
      <c r="AY40" t="s">
        <v>74</v>
      </c>
      <c r="AZ40" t="s">
        <v>74</v>
      </c>
      <c r="BA40" t="s">
        <v>74</v>
      </c>
      <c r="BB40">
        <v>149</v>
      </c>
      <c r="BC40">
        <v>159</v>
      </c>
      <c r="BD40" t="s">
        <v>74</v>
      </c>
      <c r="BE40" t="s">
        <v>74</v>
      </c>
      <c r="BF40" t="s">
        <v>74</v>
      </c>
      <c r="BG40" t="s">
        <v>74</v>
      </c>
      <c r="BH40" t="s">
        <v>74</v>
      </c>
      <c r="BI40">
        <v>11</v>
      </c>
      <c r="BJ40" t="s">
        <v>439</v>
      </c>
      <c r="BK40" t="s">
        <v>98</v>
      </c>
      <c r="BL40" t="s">
        <v>417</v>
      </c>
      <c r="BM40" t="s">
        <v>680</v>
      </c>
      <c r="BN40" t="s">
        <v>74</v>
      </c>
      <c r="BO40" t="s">
        <v>74</v>
      </c>
      <c r="BP40" t="s">
        <v>74</v>
      </c>
      <c r="BQ40" t="s">
        <v>74</v>
      </c>
      <c r="BR40" t="s">
        <v>101</v>
      </c>
      <c r="BS40" t="s">
        <v>681</v>
      </c>
      <c r="BT40" t="str">
        <f>HYPERLINK("https%3A%2F%2Fwww.webofscience.com%2Fwos%2Fwoscc%2Ffull-record%2FWOS:000074150000001","View Full Record in Web of Science")</f>
        <v>View Full Record in Web of Science</v>
      </c>
    </row>
    <row r="41" spans="1:72" x14ac:dyDescent="0.15">
      <c r="A41" t="s">
        <v>72</v>
      </c>
      <c r="B41" t="s">
        <v>682</v>
      </c>
      <c r="C41" t="s">
        <v>74</v>
      </c>
      <c r="D41" t="s">
        <v>74</v>
      </c>
      <c r="E41" t="s">
        <v>74</v>
      </c>
      <c r="F41" t="s">
        <v>682</v>
      </c>
      <c r="G41" t="s">
        <v>74</v>
      </c>
      <c r="H41" t="s">
        <v>74</v>
      </c>
      <c r="I41" t="s">
        <v>683</v>
      </c>
      <c r="J41" t="s">
        <v>684</v>
      </c>
      <c r="K41" t="s">
        <v>74</v>
      </c>
      <c r="L41" t="s">
        <v>74</v>
      </c>
      <c r="M41" t="s">
        <v>77</v>
      </c>
      <c r="N41" t="s">
        <v>78</v>
      </c>
      <c r="O41" t="s">
        <v>74</v>
      </c>
      <c r="P41" t="s">
        <v>74</v>
      </c>
      <c r="Q41" t="s">
        <v>74</v>
      </c>
      <c r="R41" t="s">
        <v>74</v>
      </c>
      <c r="S41" t="s">
        <v>74</v>
      </c>
      <c r="T41" t="s">
        <v>685</v>
      </c>
      <c r="U41" t="s">
        <v>686</v>
      </c>
      <c r="V41" t="s">
        <v>687</v>
      </c>
      <c r="W41" t="s">
        <v>688</v>
      </c>
      <c r="X41" t="s">
        <v>322</v>
      </c>
      <c r="Y41" t="s">
        <v>689</v>
      </c>
      <c r="Z41" t="s">
        <v>74</v>
      </c>
      <c r="AA41" t="s">
        <v>74</v>
      </c>
      <c r="AB41" t="s">
        <v>74</v>
      </c>
      <c r="AC41" t="s">
        <v>74</v>
      </c>
      <c r="AD41" t="s">
        <v>74</v>
      </c>
      <c r="AE41" t="s">
        <v>74</v>
      </c>
      <c r="AF41" t="s">
        <v>74</v>
      </c>
      <c r="AG41">
        <v>40</v>
      </c>
      <c r="AH41">
        <v>124</v>
      </c>
      <c r="AI41">
        <v>139</v>
      </c>
      <c r="AJ41">
        <v>1</v>
      </c>
      <c r="AK41">
        <v>27</v>
      </c>
      <c r="AL41" t="s">
        <v>451</v>
      </c>
      <c r="AM41" t="s">
        <v>214</v>
      </c>
      <c r="AN41" t="s">
        <v>452</v>
      </c>
      <c r="AO41" t="s">
        <v>690</v>
      </c>
      <c r="AP41" t="s">
        <v>691</v>
      </c>
      <c r="AQ41" t="s">
        <v>74</v>
      </c>
      <c r="AR41" t="s">
        <v>692</v>
      </c>
      <c r="AS41" t="s">
        <v>693</v>
      </c>
      <c r="AT41" t="s">
        <v>595</v>
      </c>
      <c r="AU41">
        <v>1998</v>
      </c>
      <c r="AV41">
        <v>44</v>
      </c>
      <c r="AW41" t="s">
        <v>694</v>
      </c>
      <c r="AX41" t="s">
        <v>74</v>
      </c>
      <c r="AY41" t="s">
        <v>74</v>
      </c>
      <c r="AZ41" t="s">
        <v>74</v>
      </c>
      <c r="BA41" t="s">
        <v>74</v>
      </c>
      <c r="BB41">
        <v>211</v>
      </c>
      <c r="BC41">
        <v>219</v>
      </c>
      <c r="BD41" t="s">
        <v>74</v>
      </c>
      <c r="BE41" t="s">
        <v>695</v>
      </c>
      <c r="BF41" t="str">
        <f>HYPERLINK("http://dx.doi.org/10.1016/S0022-1910(97)00166-2","http://dx.doi.org/10.1016/S0022-1910(97)00166-2")</f>
        <v>http://dx.doi.org/10.1016/S0022-1910(97)00166-2</v>
      </c>
      <c r="BG41" t="s">
        <v>74</v>
      </c>
      <c r="BH41" t="s">
        <v>74</v>
      </c>
      <c r="BI41">
        <v>9</v>
      </c>
      <c r="BJ41" t="s">
        <v>696</v>
      </c>
      <c r="BK41" t="s">
        <v>98</v>
      </c>
      <c r="BL41" t="s">
        <v>696</v>
      </c>
      <c r="BM41" t="s">
        <v>697</v>
      </c>
      <c r="BN41">
        <v>12769955</v>
      </c>
      <c r="BO41" t="s">
        <v>74</v>
      </c>
      <c r="BP41" t="s">
        <v>74</v>
      </c>
      <c r="BQ41" t="s">
        <v>74</v>
      </c>
      <c r="BR41" t="s">
        <v>101</v>
      </c>
      <c r="BS41" t="s">
        <v>698</v>
      </c>
      <c r="BT41" t="str">
        <f>HYPERLINK("https%3A%2F%2Fwww.webofscience.com%2Fwos%2Fwoscc%2Ffull-record%2FWOS:000074831000002","View Full Record in Web of Science")</f>
        <v>View Full Record in Web of Science</v>
      </c>
    </row>
    <row r="42" spans="1:72" x14ac:dyDescent="0.15">
      <c r="A42" t="s">
        <v>72</v>
      </c>
      <c r="B42" t="s">
        <v>699</v>
      </c>
      <c r="C42" t="s">
        <v>74</v>
      </c>
      <c r="D42" t="s">
        <v>74</v>
      </c>
      <c r="E42" t="s">
        <v>74</v>
      </c>
      <c r="F42" t="s">
        <v>699</v>
      </c>
      <c r="G42" t="s">
        <v>74</v>
      </c>
      <c r="H42" t="s">
        <v>74</v>
      </c>
      <c r="I42" t="s">
        <v>700</v>
      </c>
      <c r="J42" t="s">
        <v>701</v>
      </c>
      <c r="K42" t="s">
        <v>74</v>
      </c>
      <c r="L42" t="s">
        <v>74</v>
      </c>
      <c r="M42" t="s">
        <v>77</v>
      </c>
      <c r="N42" t="s">
        <v>78</v>
      </c>
      <c r="O42" t="s">
        <v>74</v>
      </c>
      <c r="P42" t="s">
        <v>74</v>
      </c>
      <c r="Q42" t="s">
        <v>74</v>
      </c>
      <c r="R42" t="s">
        <v>74</v>
      </c>
      <c r="S42" t="s">
        <v>74</v>
      </c>
      <c r="T42" t="s">
        <v>74</v>
      </c>
      <c r="U42" t="s">
        <v>702</v>
      </c>
      <c r="V42" t="s">
        <v>703</v>
      </c>
      <c r="W42" t="s">
        <v>704</v>
      </c>
      <c r="X42" t="s">
        <v>705</v>
      </c>
      <c r="Y42" t="s">
        <v>706</v>
      </c>
      <c r="Z42" t="s">
        <v>74</v>
      </c>
      <c r="AA42" t="s">
        <v>74</v>
      </c>
      <c r="AB42" t="s">
        <v>74</v>
      </c>
      <c r="AC42" t="s">
        <v>74</v>
      </c>
      <c r="AD42" t="s">
        <v>74</v>
      </c>
      <c r="AE42" t="s">
        <v>74</v>
      </c>
      <c r="AF42" t="s">
        <v>74</v>
      </c>
      <c r="AG42">
        <v>17</v>
      </c>
      <c r="AH42">
        <v>27</v>
      </c>
      <c r="AI42">
        <v>30</v>
      </c>
      <c r="AJ42">
        <v>0</v>
      </c>
      <c r="AK42">
        <v>9</v>
      </c>
      <c r="AL42" t="s">
        <v>707</v>
      </c>
      <c r="AM42" t="s">
        <v>88</v>
      </c>
      <c r="AN42" t="s">
        <v>708</v>
      </c>
      <c r="AO42" t="s">
        <v>709</v>
      </c>
      <c r="AP42" t="s">
        <v>74</v>
      </c>
      <c r="AQ42" t="s">
        <v>74</v>
      </c>
      <c r="AR42" t="s">
        <v>710</v>
      </c>
      <c r="AS42" t="s">
        <v>711</v>
      </c>
      <c r="AT42" t="s">
        <v>219</v>
      </c>
      <c r="AU42">
        <v>1998</v>
      </c>
      <c r="AV42">
        <v>61</v>
      </c>
      <c r="AW42">
        <v>3</v>
      </c>
      <c r="AX42" t="s">
        <v>74</v>
      </c>
      <c r="AY42" t="s">
        <v>74</v>
      </c>
      <c r="AZ42" t="s">
        <v>74</v>
      </c>
      <c r="BA42" t="s">
        <v>74</v>
      </c>
      <c r="BB42">
        <v>370</v>
      </c>
      <c r="BC42">
        <v>374</v>
      </c>
      <c r="BD42" t="s">
        <v>74</v>
      </c>
      <c r="BE42" t="s">
        <v>712</v>
      </c>
      <c r="BF42" t="str">
        <f>HYPERLINK("http://dx.doi.org/10.1021/np970429c","http://dx.doi.org/10.1021/np970429c")</f>
        <v>http://dx.doi.org/10.1021/np970429c</v>
      </c>
      <c r="BG42" t="s">
        <v>74</v>
      </c>
      <c r="BH42" t="s">
        <v>74</v>
      </c>
      <c r="BI42">
        <v>5</v>
      </c>
      <c r="BJ42" t="s">
        <v>713</v>
      </c>
      <c r="BK42" t="s">
        <v>714</v>
      </c>
      <c r="BL42" t="s">
        <v>715</v>
      </c>
      <c r="BM42" t="s">
        <v>716</v>
      </c>
      <c r="BN42">
        <v>9548877</v>
      </c>
      <c r="BO42" t="s">
        <v>74</v>
      </c>
      <c r="BP42" t="s">
        <v>74</v>
      </c>
      <c r="BQ42" t="s">
        <v>74</v>
      </c>
      <c r="BR42" t="s">
        <v>101</v>
      </c>
      <c r="BS42" t="s">
        <v>717</v>
      </c>
      <c r="BT42" t="str">
        <f>HYPERLINK("https%3A%2F%2Fwww.webofscience.com%2Fwos%2Fwoscc%2Ffull-record%2FWOS:000072852100014","View Full Record in Web of Science")</f>
        <v>View Full Record in Web of Science</v>
      </c>
    </row>
    <row r="43" spans="1:72" x14ac:dyDescent="0.15">
      <c r="A43" t="s">
        <v>72</v>
      </c>
      <c r="B43" t="s">
        <v>718</v>
      </c>
      <c r="C43" t="s">
        <v>74</v>
      </c>
      <c r="D43" t="s">
        <v>74</v>
      </c>
      <c r="E43" t="s">
        <v>74</v>
      </c>
      <c r="F43" t="s">
        <v>718</v>
      </c>
      <c r="G43" t="s">
        <v>74</v>
      </c>
      <c r="H43" t="s">
        <v>74</v>
      </c>
      <c r="I43" t="s">
        <v>719</v>
      </c>
      <c r="J43" t="s">
        <v>720</v>
      </c>
      <c r="K43" t="s">
        <v>74</v>
      </c>
      <c r="L43" t="s">
        <v>74</v>
      </c>
      <c r="M43" t="s">
        <v>77</v>
      </c>
      <c r="N43" t="s">
        <v>78</v>
      </c>
      <c r="O43" t="s">
        <v>74</v>
      </c>
      <c r="P43" t="s">
        <v>74</v>
      </c>
      <c r="Q43" t="s">
        <v>74</v>
      </c>
      <c r="R43" t="s">
        <v>74</v>
      </c>
      <c r="S43" t="s">
        <v>74</v>
      </c>
      <c r="T43" t="s">
        <v>74</v>
      </c>
      <c r="U43" t="s">
        <v>721</v>
      </c>
      <c r="V43" t="s">
        <v>722</v>
      </c>
      <c r="W43" t="s">
        <v>723</v>
      </c>
      <c r="X43" t="s">
        <v>724</v>
      </c>
      <c r="Y43" t="s">
        <v>725</v>
      </c>
      <c r="Z43" t="s">
        <v>726</v>
      </c>
      <c r="AA43" t="s">
        <v>74</v>
      </c>
      <c r="AB43" t="s">
        <v>727</v>
      </c>
      <c r="AC43" t="s">
        <v>74</v>
      </c>
      <c r="AD43" t="s">
        <v>74</v>
      </c>
      <c r="AE43" t="s">
        <v>74</v>
      </c>
      <c r="AF43" t="s">
        <v>74</v>
      </c>
      <c r="AG43">
        <v>57</v>
      </c>
      <c r="AH43">
        <v>32</v>
      </c>
      <c r="AI43">
        <v>34</v>
      </c>
      <c r="AJ43">
        <v>0</v>
      </c>
      <c r="AK43">
        <v>1</v>
      </c>
      <c r="AL43" t="s">
        <v>728</v>
      </c>
      <c r="AM43" t="s">
        <v>590</v>
      </c>
      <c r="AN43" t="s">
        <v>729</v>
      </c>
      <c r="AO43" t="s">
        <v>730</v>
      </c>
      <c r="AP43" t="s">
        <v>74</v>
      </c>
      <c r="AQ43" t="s">
        <v>74</v>
      </c>
      <c r="AR43" t="s">
        <v>731</v>
      </c>
      <c r="AS43" t="s">
        <v>732</v>
      </c>
      <c r="AT43" t="s">
        <v>219</v>
      </c>
      <c r="AU43">
        <v>1998</v>
      </c>
      <c r="AV43">
        <v>72</v>
      </c>
      <c r="AW43">
        <v>2</v>
      </c>
      <c r="AX43" t="s">
        <v>74</v>
      </c>
      <c r="AY43" t="s">
        <v>74</v>
      </c>
      <c r="AZ43" t="s">
        <v>74</v>
      </c>
      <c r="BA43" t="s">
        <v>74</v>
      </c>
      <c r="BB43">
        <v>339</v>
      </c>
      <c r="BC43">
        <v>353</v>
      </c>
      <c r="BD43" t="s">
        <v>74</v>
      </c>
      <c r="BE43" t="s">
        <v>733</v>
      </c>
      <c r="BF43" t="str">
        <f>HYPERLINK("http://dx.doi.org/10.1017/S0022336000036325","http://dx.doi.org/10.1017/S0022336000036325")</f>
        <v>http://dx.doi.org/10.1017/S0022336000036325</v>
      </c>
      <c r="BG43" t="s">
        <v>74</v>
      </c>
      <c r="BH43" t="s">
        <v>74</v>
      </c>
      <c r="BI43">
        <v>15</v>
      </c>
      <c r="BJ43" t="s">
        <v>734</v>
      </c>
      <c r="BK43" t="s">
        <v>98</v>
      </c>
      <c r="BL43" t="s">
        <v>734</v>
      </c>
      <c r="BM43" t="s">
        <v>735</v>
      </c>
      <c r="BN43" t="s">
        <v>74</v>
      </c>
      <c r="BO43" t="s">
        <v>74</v>
      </c>
      <c r="BP43" t="s">
        <v>74</v>
      </c>
      <c r="BQ43" t="s">
        <v>74</v>
      </c>
      <c r="BR43" t="s">
        <v>101</v>
      </c>
      <c r="BS43" t="s">
        <v>736</v>
      </c>
      <c r="BT43" t="str">
        <f>HYPERLINK("https%3A%2F%2Fwww.webofscience.com%2Fwos%2Fwoscc%2Ffull-record%2FWOS:000072899800013","View Full Record in Web of Science")</f>
        <v>View Full Record in Web of Science</v>
      </c>
    </row>
    <row r="44" spans="1:72" x14ac:dyDescent="0.15">
      <c r="A44" t="s">
        <v>72</v>
      </c>
      <c r="B44" t="s">
        <v>737</v>
      </c>
      <c r="C44" t="s">
        <v>74</v>
      </c>
      <c r="D44" t="s">
        <v>74</v>
      </c>
      <c r="E44" t="s">
        <v>74</v>
      </c>
      <c r="F44" t="s">
        <v>737</v>
      </c>
      <c r="G44" t="s">
        <v>74</v>
      </c>
      <c r="H44" t="s">
        <v>74</v>
      </c>
      <c r="I44" t="s">
        <v>738</v>
      </c>
      <c r="J44" t="s">
        <v>739</v>
      </c>
      <c r="K44" t="s">
        <v>74</v>
      </c>
      <c r="L44" t="s">
        <v>74</v>
      </c>
      <c r="M44" t="s">
        <v>77</v>
      </c>
      <c r="N44" t="s">
        <v>78</v>
      </c>
      <c r="O44" t="s">
        <v>74</v>
      </c>
      <c r="P44" t="s">
        <v>74</v>
      </c>
      <c r="Q44" t="s">
        <v>74</v>
      </c>
      <c r="R44" t="s">
        <v>74</v>
      </c>
      <c r="S44" t="s">
        <v>74</v>
      </c>
      <c r="T44" t="s">
        <v>74</v>
      </c>
      <c r="U44" t="s">
        <v>740</v>
      </c>
      <c r="V44" t="s">
        <v>741</v>
      </c>
      <c r="W44" t="s">
        <v>742</v>
      </c>
      <c r="X44" t="s">
        <v>743</v>
      </c>
      <c r="Y44" t="s">
        <v>744</v>
      </c>
      <c r="Z44" t="s">
        <v>74</v>
      </c>
      <c r="AA44" t="s">
        <v>74</v>
      </c>
      <c r="AB44" t="s">
        <v>745</v>
      </c>
      <c r="AC44" t="s">
        <v>74</v>
      </c>
      <c r="AD44" t="s">
        <v>74</v>
      </c>
      <c r="AE44" t="s">
        <v>74</v>
      </c>
      <c r="AF44" t="s">
        <v>74</v>
      </c>
      <c r="AG44">
        <v>17</v>
      </c>
      <c r="AH44">
        <v>24</v>
      </c>
      <c r="AI44">
        <v>24</v>
      </c>
      <c r="AJ44">
        <v>0</v>
      </c>
      <c r="AK44">
        <v>6</v>
      </c>
      <c r="AL44" t="s">
        <v>627</v>
      </c>
      <c r="AM44" t="s">
        <v>628</v>
      </c>
      <c r="AN44" t="s">
        <v>629</v>
      </c>
      <c r="AO44" t="s">
        <v>746</v>
      </c>
      <c r="AP44" t="s">
        <v>74</v>
      </c>
      <c r="AQ44" t="s">
        <v>74</v>
      </c>
      <c r="AR44" t="s">
        <v>747</v>
      </c>
      <c r="AS44" t="s">
        <v>748</v>
      </c>
      <c r="AT44" t="s">
        <v>219</v>
      </c>
      <c r="AU44">
        <v>1998</v>
      </c>
      <c r="AV44">
        <v>28</v>
      </c>
      <c r="AW44">
        <v>3</v>
      </c>
      <c r="AX44" t="s">
        <v>74</v>
      </c>
      <c r="AY44" t="s">
        <v>74</v>
      </c>
      <c r="AZ44" t="s">
        <v>74</v>
      </c>
      <c r="BA44" t="s">
        <v>74</v>
      </c>
      <c r="BB44">
        <v>535</v>
      </c>
      <c r="BC44">
        <v>540</v>
      </c>
      <c r="BD44" t="s">
        <v>74</v>
      </c>
      <c r="BE44" t="s">
        <v>749</v>
      </c>
      <c r="BF44" t="str">
        <f>HYPERLINK("http://dx.doi.org/10.1175/1520-0485(1998)028&lt;0535:ADEITA&gt;2.0.CO;2","http://dx.doi.org/10.1175/1520-0485(1998)028&lt;0535:ADEITA&gt;2.0.CO;2")</f>
        <v>http://dx.doi.org/10.1175/1520-0485(1998)028&lt;0535:ADEITA&gt;2.0.CO;2</v>
      </c>
      <c r="BG44" t="s">
        <v>74</v>
      </c>
      <c r="BH44" t="s">
        <v>74</v>
      </c>
      <c r="BI44">
        <v>6</v>
      </c>
      <c r="BJ44" t="s">
        <v>97</v>
      </c>
      <c r="BK44" t="s">
        <v>98</v>
      </c>
      <c r="BL44" t="s">
        <v>97</v>
      </c>
      <c r="BM44" t="s">
        <v>750</v>
      </c>
      <c r="BN44" t="s">
        <v>74</v>
      </c>
      <c r="BO44" t="s">
        <v>123</v>
      </c>
      <c r="BP44" t="s">
        <v>74</v>
      </c>
      <c r="BQ44" t="s">
        <v>74</v>
      </c>
      <c r="BR44" t="s">
        <v>101</v>
      </c>
      <c r="BS44" t="s">
        <v>751</v>
      </c>
      <c r="BT44" t="str">
        <f>HYPERLINK("https%3A%2F%2Fwww.webofscience.com%2Fwos%2Fwoscc%2Ffull-record%2FWOS:000072419700010","View Full Record in Web of Science")</f>
        <v>View Full Record in Web of Science</v>
      </c>
    </row>
    <row r="45" spans="1:72" x14ac:dyDescent="0.15">
      <c r="A45" t="s">
        <v>72</v>
      </c>
      <c r="B45" t="s">
        <v>752</v>
      </c>
      <c r="C45" t="s">
        <v>74</v>
      </c>
      <c r="D45" t="s">
        <v>74</v>
      </c>
      <c r="E45" t="s">
        <v>74</v>
      </c>
      <c r="F45" t="s">
        <v>752</v>
      </c>
      <c r="G45" t="s">
        <v>74</v>
      </c>
      <c r="H45" t="s">
        <v>74</v>
      </c>
      <c r="I45" t="s">
        <v>753</v>
      </c>
      <c r="J45" t="s">
        <v>754</v>
      </c>
      <c r="K45" t="s">
        <v>74</v>
      </c>
      <c r="L45" t="s">
        <v>74</v>
      </c>
      <c r="M45" t="s">
        <v>77</v>
      </c>
      <c r="N45" t="s">
        <v>78</v>
      </c>
      <c r="O45" t="s">
        <v>74</v>
      </c>
      <c r="P45" t="s">
        <v>74</v>
      </c>
      <c r="Q45" t="s">
        <v>74</v>
      </c>
      <c r="R45" t="s">
        <v>74</v>
      </c>
      <c r="S45" t="s">
        <v>74</v>
      </c>
      <c r="T45" t="s">
        <v>755</v>
      </c>
      <c r="U45" t="s">
        <v>756</v>
      </c>
      <c r="V45" t="s">
        <v>757</v>
      </c>
      <c r="W45" t="s">
        <v>758</v>
      </c>
      <c r="X45" t="s">
        <v>322</v>
      </c>
      <c r="Y45" t="s">
        <v>759</v>
      </c>
      <c r="Z45" t="s">
        <v>760</v>
      </c>
      <c r="AA45" t="s">
        <v>74</v>
      </c>
      <c r="AB45" t="s">
        <v>761</v>
      </c>
      <c r="AC45" t="s">
        <v>74</v>
      </c>
      <c r="AD45" t="s">
        <v>74</v>
      </c>
      <c r="AE45" t="s">
        <v>74</v>
      </c>
      <c r="AF45" t="s">
        <v>74</v>
      </c>
      <c r="AG45">
        <v>58</v>
      </c>
      <c r="AH45">
        <v>74</v>
      </c>
      <c r="AI45">
        <v>81</v>
      </c>
      <c r="AJ45">
        <v>0</v>
      </c>
      <c r="AK45">
        <v>14</v>
      </c>
      <c r="AL45" t="s">
        <v>762</v>
      </c>
      <c r="AM45" t="s">
        <v>763</v>
      </c>
      <c r="AN45" t="s">
        <v>764</v>
      </c>
      <c r="AO45" t="s">
        <v>765</v>
      </c>
      <c r="AP45" t="s">
        <v>74</v>
      </c>
      <c r="AQ45" t="s">
        <v>74</v>
      </c>
      <c r="AR45" t="s">
        <v>766</v>
      </c>
      <c r="AS45" t="s">
        <v>767</v>
      </c>
      <c r="AT45" t="s">
        <v>219</v>
      </c>
      <c r="AU45">
        <v>1998</v>
      </c>
      <c r="AV45">
        <v>155</v>
      </c>
      <c r="AW45" t="s">
        <v>74</v>
      </c>
      <c r="AX45">
        <v>2</v>
      </c>
      <c r="AY45" t="s">
        <v>74</v>
      </c>
      <c r="AZ45" t="s">
        <v>74</v>
      </c>
      <c r="BA45" t="s">
        <v>74</v>
      </c>
      <c r="BB45">
        <v>255</v>
      </c>
      <c r="BC45">
        <v>268</v>
      </c>
      <c r="BD45" t="s">
        <v>74</v>
      </c>
      <c r="BE45" t="s">
        <v>768</v>
      </c>
      <c r="BF45" t="str">
        <f>HYPERLINK("http://dx.doi.org/10.1144/gsjgs.155.2.0255","http://dx.doi.org/10.1144/gsjgs.155.2.0255")</f>
        <v>http://dx.doi.org/10.1144/gsjgs.155.2.0255</v>
      </c>
      <c r="BG45" t="s">
        <v>74</v>
      </c>
      <c r="BH45" t="s">
        <v>74</v>
      </c>
      <c r="BI45">
        <v>14</v>
      </c>
      <c r="BJ45" t="s">
        <v>769</v>
      </c>
      <c r="BK45" t="s">
        <v>98</v>
      </c>
      <c r="BL45" t="s">
        <v>471</v>
      </c>
      <c r="BM45" t="s">
        <v>770</v>
      </c>
      <c r="BN45" t="s">
        <v>74</v>
      </c>
      <c r="BO45" t="s">
        <v>74</v>
      </c>
      <c r="BP45" t="s">
        <v>74</v>
      </c>
      <c r="BQ45" t="s">
        <v>74</v>
      </c>
      <c r="BR45" t="s">
        <v>101</v>
      </c>
      <c r="BS45" t="s">
        <v>771</v>
      </c>
      <c r="BT45" t="str">
        <f>HYPERLINK("https%3A%2F%2Fwww.webofscience.com%2Fwos%2Fwoscc%2Ffull-record%2FWOS:000072499500004","View Full Record in Web of Science")</f>
        <v>View Full Record in Web of Science</v>
      </c>
    </row>
    <row r="46" spans="1:72" x14ac:dyDescent="0.15">
      <c r="A46" t="s">
        <v>72</v>
      </c>
      <c r="B46" t="s">
        <v>772</v>
      </c>
      <c r="C46" t="s">
        <v>74</v>
      </c>
      <c r="D46" t="s">
        <v>74</v>
      </c>
      <c r="E46" t="s">
        <v>74</v>
      </c>
      <c r="F46" t="s">
        <v>772</v>
      </c>
      <c r="G46" t="s">
        <v>74</v>
      </c>
      <c r="H46" t="s">
        <v>74</v>
      </c>
      <c r="I46" t="s">
        <v>773</v>
      </c>
      <c r="J46" t="s">
        <v>754</v>
      </c>
      <c r="K46" t="s">
        <v>74</v>
      </c>
      <c r="L46" t="s">
        <v>74</v>
      </c>
      <c r="M46" t="s">
        <v>77</v>
      </c>
      <c r="N46" t="s">
        <v>78</v>
      </c>
      <c r="O46" t="s">
        <v>74</v>
      </c>
      <c r="P46" t="s">
        <v>74</v>
      </c>
      <c r="Q46" t="s">
        <v>74</v>
      </c>
      <c r="R46" t="s">
        <v>74</v>
      </c>
      <c r="S46" t="s">
        <v>74</v>
      </c>
      <c r="T46" t="s">
        <v>774</v>
      </c>
      <c r="U46" t="s">
        <v>775</v>
      </c>
      <c r="V46" t="s">
        <v>776</v>
      </c>
      <c r="W46" t="s">
        <v>777</v>
      </c>
      <c r="X46" t="s">
        <v>322</v>
      </c>
      <c r="Y46" t="s">
        <v>778</v>
      </c>
      <c r="Z46" t="s">
        <v>779</v>
      </c>
      <c r="AA46" t="s">
        <v>74</v>
      </c>
      <c r="AB46" t="s">
        <v>74</v>
      </c>
      <c r="AC46" t="s">
        <v>74</v>
      </c>
      <c r="AD46" t="s">
        <v>74</v>
      </c>
      <c r="AE46" t="s">
        <v>74</v>
      </c>
      <c r="AF46" t="s">
        <v>74</v>
      </c>
      <c r="AG46">
        <v>55</v>
      </c>
      <c r="AH46">
        <v>159</v>
      </c>
      <c r="AI46">
        <v>185</v>
      </c>
      <c r="AJ46">
        <v>0</v>
      </c>
      <c r="AK46">
        <v>21</v>
      </c>
      <c r="AL46" t="s">
        <v>762</v>
      </c>
      <c r="AM46" t="s">
        <v>763</v>
      </c>
      <c r="AN46" t="s">
        <v>764</v>
      </c>
      <c r="AO46" t="s">
        <v>765</v>
      </c>
      <c r="AP46" t="s">
        <v>74</v>
      </c>
      <c r="AQ46" t="s">
        <v>74</v>
      </c>
      <c r="AR46" t="s">
        <v>766</v>
      </c>
      <c r="AS46" t="s">
        <v>767</v>
      </c>
      <c r="AT46" t="s">
        <v>219</v>
      </c>
      <c r="AU46">
        <v>1998</v>
      </c>
      <c r="AV46">
        <v>155</v>
      </c>
      <c r="AW46" t="s">
        <v>74</v>
      </c>
      <c r="AX46">
        <v>2</v>
      </c>
      <c r="AY46" t="s">
        <v>74</v>
      </c>
      <c r="AZ46" t="s">
        <v>74</v>
      </c>
      <c r="BA46" t="s">
        <v>74</v>
      </c>
      <c r="BB46">
        <v>269</v>
      </c>
      <c r="BC46">
        <v>280</v>
      </c>
      <c r="BD46" t="s">
        <v>74</v>
      </c>
      <c r="BE46" t="s">
        <v>780</v>
      </c>
      <c r="BF46" t="str">
        <f>HYPERLINK("http://dx.doi.org/10.1144/gsjgs.155.2.0269","http://dx.doi.org/10.1144/gsjgs.155.2.0269")</f>
        <v>http://dx.doi.org/10.1144/gsjgs.155.2.0269</v>
      </c>
      <c r="BG46" t="s">
        <v>74</v>
      </c>
      <c r="BH46" t="s">
        <v>74</v>
      </c>
      <c r="BI46">
        <v>12</v>
      </c>
      <c r="BJ46" t="s">
        <v>769</v>
      </c>
      <c r="BK46" t="s">
        <v>98</v>
      </c>
      <c r="BL46" t="s">
        <v>471</v>
      </c>
      <c r="BM46" t="s">
        <v>770</v>
      </c>
      <c r="BN46" t="s">
        <v>74</v>
      </c>
      <c r="BO46" t="s">
        <v>74</v>
      </c>
      <c r="BP46" t="s">
        <v>74</v>
      </c>
      <c r="BQ46" t="s">
        <v>74</v>
      </c>
      <c r="BR46" t="s">
        <v>101</v>
      </c>
      <c r="BS46" t="s">
        <v>781</v>
      </c>
      <c r="BT46" t="str">
        <f>HYPERLINK("https%3A%2F%2Fwww.webofscience.com%2Fwos%2Fwoscc%2Ffull-record%2FWOS:000072499500005","View Full Record in Web of Science")</f>
        <v>View Full Record in Web of Science</v>
      </c>
    </row>
    <row r="47" spans="1:72" x14ac:dyDescent="0.15">
      <c r="A47" t="s">
        <v>72</v>
      </c>
      <c r="B47" t="s">
        <v>782</v>
      </c>
      <c r="C47" t="s">
        <v>74</v>
      </c>
      <c r="D47" t="s">
        <v>74</v>
      </c>
      <c r="E47" t="s">
        <v>74</v>
      </c>
      <c r="F47" t="s">
        <v>782</v>
      </c>
      <c r="G47" t="s">
        <v>74</v>
      </c>
      <c r="H47" t="s">
        <v>74</v>
      </c>
      <c r="I47" t="s">
        <v>783</v>
      </c>
      <c r="J47" t="s">
        <v>784</v>
      </c>
      <c r="K47" t="s">
        <v>74</v>
      </c>
      <c r="L47" t="s">
        <v>74</v>
      </c>
      <c r="M47" t="s">
        <v>77</v>
      </c>
      <c r="N47" t="s">
        <v>78</v>
      </c>
      <c r="O47" t="s">
        <v>74</v>
      </c>
      <c r="P47" t="s">
        <v>74</v>
      </c>
      <c r="Q47" t="s">
        <v>74</v>
      </c>
      <c r="R47" t="s">
        <v>74</v>
      </c>
      <c r="S47" t="s">
        <v>74</v>
      </c>
      <c r="T47" t="s">
        <v>74</v>
      </c>
      <c r="U47" t="s">
        <v>785</v>
      </c>
      <c r="V47" t="s">
        <v>786</v>
      </c>
      <c r="W47" t="s">
        <v>787</v>
      </c>
      <c r="X47" t="s">
        <v>788</v>
      </c>
      <c r="Y47" t="s">
        <v>789</v>
      </c>
      <c r="Z47" t="s">
        <v>790</v>
      </c>
      <c r="AA47" t="s">
        <v>791</v>
      </c>
      <c r="AB47" t="s">
        <v>792</v>
      </c>
      <c r="AC47" t="s">
        <v>74</v>
      </c>
      <c r="AD47" t="s">
        <v>74</v>
      </c>
      <c r="AE47" t="s">
        <v>74</v>
      </c>
      <c r="AF47" t="s">
        <v>74</v>
      </c>
      <c r="AG47">
        <v>34</v>
      </c>
      <c r="AH47">
        <v>41</v>
      </c>
      <c r="AI47">
        <v>42</v>
      </c>
      <c r="AJ47">
        <v>0</v>
      </c>
      <c r="AK47">
        <v>9</v>
      </c>
      <c r="AL47" t="s">
        <v>793</v>
      </c>
      <c r="AM47" t="s">
        <v>794</v>
      </c>
      <c r="AN47" t="s">
        <v>795</v>
      </c>
      <c r="AO47" t="s">
        <v>796</v>
      </c>
      <c r="AP47" t="s">
        <v>74</v>
      </c>
      <c r="AQ47" t="s">
        <v>74</v>
      </c>
      <c r="AR47" t="s">
        <v>797</v>
      </c>
      <c r="AS47" t="s">
        <v>798</v>
      </c>
      <c r="AT47" t="s">
        <v>219</v>
      </c>
      <c r="AU47">
        <v>1998</v>
      </c>
      <c r="AV47">
        <v>33</v>
      </c>
      <c r="AW47">
        <v>2</v>
      </c>
      <c r="AX47" t="s">
        <v>74</v>
      </c>
      <c r="AY47" t="s">
        <v>74</v>
      </c>
      <c r="AZ47" t="s">
        <v>74</v>
      </c>
      <c r="BA47" t="s">
        <v>74</v>
      </c>
      <c r="BB47">
        <v>181</v>
      </c>
      <c r="BC47">
        <v>189</v>
      </c>
      <c r="BD47" t="s">
        <v>74</v>
      </c>
      <c r="BE47" t="s">
        <v>799</v>
      </c>
      <c r="BF47" t="str">
        <f>HYPERLINK("http://dx.doi.org/10.1111/j.1945-5100.1998.tb01624.x","http://dx.doi.org/10.1111/j.1945-5100.1998.tb01624.x")</f>
        <v>http://dx.doi.org/10.1111/j.1945-5100.1998.tb01624.x</v>
      </c>
      <c r="BG47" t="s">
        <v>74</v>
      </c>
      <c r="BH47" t="s">
        <v>74</v>
      </c>
      <c r="BI47">
        <v>9</v>
      </c>
      <c r="BJ47" t="s">
        <v>143</v>
      </c>
      <c r="BK47" t="s">
        <v>98</v>
      </c>
      <c r="BL47" t="s">
        <v>143</v>
      </c>
      <c r="BM47" t="s">
        <v>800</v>
      </c>
      <c r="BN47" t="s">
        <v>74</v>
      </c>
      <c r="BO47" t="s">
        <v>100</v>
      </c>
      <c r="BP47" t="s">
        <v>74</v>
      </c>
      <c r="BQ47" t="s">
        <v>74</v>
      </c>
      <c r="BR47" t="s">
        <v>101</v>
      </c>
      <c r="BS47" t="s">
        <v>801</v>
      </c>
      <c r="BT47" t="str">
        <f>HYPERLINK("https%3A%2F%2Fwww.webofscience.com%2Fwos%2Fwoscc%2Ffull-record%2FWOS:000072861000004","View Full Record in Web of Science")</f>
        <v>View Full Record in Web of Science</v>
      </c>
    </row>
    <row r="48" spans="1:72" x14ac:dyDescent="0.15">
      <c r="A48" t="s">
        <v>72</v>
      </c>
      <c r="B48" t="s">
        <v>802</v>
      </c>
      <c r="C48" t="s">
        <v>74</v>
      </c>
      <c r="D48" t="s">
        <v>74</v>
      </c>
      <c r="E48" t="s">
        <v>74</v>
      </c>
      <c r="F48" t="s">
        <v>802</v>
      </c>
      <c r="G48" t="s">
        <v>74</v>
      </c>
      <c r="H48" t="s">
        <v>74</v>
      </c>
      <c r="I48" t="s">
        <v>803</v>
      </c>
      <c r="J48" t="s">
        <v>784</v>
      </c>
      <c r="K48" t="s">
        <v>74</v>
      </c>
      <c r="L48" t="s">
        <v>74</v>
      </c>
      <c r="M48" t="s">
        <v>77</v>
      </c>
      <c r="N48" t="s">
        <v>78</v>
      </c>
      <c r="O48" t="s">
        <v>74</v>
      </c>
      <c r="P48" t="s">
        <v>74</v>
      </c>
      <c r="Q48" t="s">
        <v>74</v>
      </c>
      <c r="R48" t="s">
        <v>74</v>
      </c>
      <c r="S48" t="s">
        <v>74</v>
      </c>
      <c r="T48" t="s">
        <v>74</v>
      </c>
      <c r="U48" t="s">
        <v>804</v>
      </c>
      <c r="V48" t="s">
        <v>805</v>
      </c>
      <c r="W48" t="s">
        <v>806</v>
      </c>
      <c r="X48" t="s">
        <v>807</v>
      </c>
      <c r="Y48" t="s">
        <v>808</v>
      </c>
      <c r="Z48" t="s">
        <v>809</v>
      </c>
      <c r="AA48" t="s">
        <v>810</v>
      </c>
      <c r="AB48" t="s">
        <v>811</v>
      </c>
      <c r="AC48" t="s">
        <v>74</v>
      </c>
      <c r="AD48" t="s">
        <v>74</v>
      </c>
      <c r="AE48" t="s">
        <v>74</v>
      </c>
      <c r="AF48" t="s">
        <v>74</v>
      </c>
      <c r="AG48">
        <v>91</v>
      </c>
      <c r="AH48">
        <v>104</v>
      </c>
      <c r="AI48">
        <v>108</v>
      </c>
      <c r="AJ48">
        <v>0</v>
      </c>
      <c r="AK48">
        <v>9</v>
      </c>
      <c r="AL48" t="s">
        <v>812</v>
      </c>
      <c r="AM48" t="s">
        <v>813</v>
      </c>
      <c r="AN48" t="s">
        <v>814</v>
      </c>
      <c r="AO48" t="s">
        <v>815</v>
      </c>
      <c r="AP48" t="s">
        <v>74</v>
      </c>
      <c r="AQ48" t="s">
        <v>74</v>
      </c>
      <c r="AR48" t="s">
        <v>797</v>
      </c>
      <c r="AS48" t="s">
        <v>798</v>
      </c>
      <c r="AT48" t="s">
        <v>219</v>
      </c>
      <c r="AU48">
        <v>1998</v>
      </c>
      <c r="AV48">
        <v>33</v>
      </c>
      <c r="AW48">
        <v>2</v>
      </c>
      <c r="AX48" t="s">
        <v>74</v>
      </c>
      <c r="AY48" t="s">
        <v>74</v>
      </c>
      <c r="AZ48" t="s">
        <v>74</v>
      </c>
      <c r="BA48" t="s">
        <v>74</v>
      </c>
      <c r="BB48">
        <v>267</v>
      </c>
      <c r="BC48">
        <v>290</v>
      </c>
      <c r="BD48" t="s">
        <v>74</v>
      </c>
      <c r="BE48" t="s">
        <v>816</v>
      </c>
      <c r="BF48" t="str">
        <f>HYPERLINK("http://dx.doi.org/10.1111/j.1945-5100.1998.tb01632.x","http://dx.doi.org/10.1111/j.1945-5100.1998.tb01632.x")</f>
        <v>http://dx.doi.org/10.1111/j.1945-5100.1998.tb01632.x</v>
      </c>
      <c r="BG48" t="s">
        <v>74</v>
      </c>
      <c r="BH48" t="s">
        <v>74</v>
      </c>
      <c r="BI48">
        <v>24</v>
      </c>
      <c r="BJ48" t="s">
        <v>143</v>
      </c>
      <c r="BK48" t="s">
        <v>98</v>
      </c>
      <c r="BL48" t="s">
        <v>143</v>
      </c>
      <c r="BM48" t="s">
        <v>800</v>
      </c>
      <c r="BN48" t="s">
        <v>74</v>
      </c>
      <c r="BO48" t="s">
        <v>100</v>
      </c>
      <c r="BP48" t="s">
        <v>74</v>
      </c>
      <c r="BQ48" t="s">
        <v>74</v>
      </c>
      <c r="BR48" t="s">
        <v>101</v>
      </c>
      <c r="BS48" t="s">
        <v>817</v>
      </c>
      <c r="BT48" t="str">
        <f>HYPERLINK("https%3A%2F%2Fwww.webofscience.com%2Fwos%2Fwoscc%2Ffull-record%2FWOS:000072861000012","View Full Record in Web of Science")</f>
        <v>View Full Record in Web of Science</v>
      </c>
    </row>
    <row r="49" spans="1:72" x14ac:dyDescent="0.15">
      <c r="A49" t="s">
        <v>72</v>
      </c>
      <c r="B49" t="s">
        <v>818</v>
      </c>
      <c r="C49" t="s">
        <v>74</v>
      </c>
      <c r="D49" t="s">
        <v>74</v>
      </c>
      <c r="E49" t="s">
        <v>74</v>
      </c>
      <c r="F49" t="s">
        <v>818</v>
      </c>
      <c r="G49" t="s">
        <v>74</v>
      </c>
      <c r="H49" t="s">
        <v>74</v>
      </c>
      <c r="I49" t="s">
        <v>819</v>
      </c>
      <c r="J49" t="s">
        <v>784</v>
      </c>
      <c r="K49" t="s">
        <v>74</v>
      </c>
      <c r="L49" t="s">
        <v>74</v>
      </c>
      <c r="M49" t="s">
        <v>77</v>
      </c>
      <c r="N49" t="s">
        <v>78</v>
      </c>
      <c r="O49" t="s">
        <v>74</v>
      </c>
      <c r="P49" t="s">
        <v>74</v>
      </c>
      <c r="Q49" t="s">
        <v>74</v>
      </c>
      <c r="R49" t="s">
        <v>74</v>
      </c>
      <c r="S49" t="s">
        <v>74</v>
      </c>
      <c r="T49" t="s">
        <v>74</v>
      </c>
      <c r="U49" t="s">
        <v>820</v>
      </c>
      <c r="V49" t="s">
        <v>821</v>
      </c>
      <c r="W49" t="s">
        <v>822</v>
      </c>
      <c r="X49" t="s">
        <v>823</v>
      </c>
      <c r="Y49" t="s">
        <v>824</v>
      </c>
      <c r="Z49" t="s">
        <v>825</v>
      </c>
      <c r="AA49" t="s">
        <v>74</v>
      </c>
      <c r="AB49" t="s">
        <v>74</v>
      </c>
      <c r="AC49" t="s">
        <v>74</v>
      </c>
      <c r="AD49" t="s">
        <v>74</v>
      </c>
      <c r="AE49" t="s">
        <v>74</v>
      </c>
      <c r="AF49" t="s">
        <v>74</v>
      </c>
      <c r="AG49">
        <v>24</v>
      </c>
      <c r="AH49">
        <v>17</v>
      </c>
      <c r="AI49">
        <v>17</v>
      </c>
      <c r="AJ49">
        <v>0</v>
      </c>
      <c r="AK49">
        <v>5</v>
      </c>
      <c r="AL49" t="s">
        <v>812</v>
      </c>
      <c r="AM49" t="s">
        <v>826</v>
      </c>
      <c r="AN49" t="s">
        <v>827</v>
      </c>
      <c r="AO49" t="s">
        <v>815</v>
      </c>
      <c r="AP49" t="s">
        <v>828</v>
      </c>
      <c r="AQ49" t="s">
        <v>74</v>
      </c>
      <c r="AR49" t="s">
        <v>797</v>
      </c>
      <c r="AS49" t="s">
        <v>798</v>
      </c>
      <c r="AT49" t="s">
        <v>219</v>
      </c>
      <c r="AU49">
        <v>1998</v>
      </c>
      <c r="AV49">
        <v>33</v>
      </c>
      <c r="AW49">
        <v>2</v>
      </c>
      <c r="AX49" t="s">
        <v>74</v>
      </c>
      <c r="AY49" t="s">
        <v>74</v>
      </c>
      <c r="AZ49" t="s">
        <v>74</v>
      </c>
      <c r="BA49" t="s">
        <v>74</v>
      </c>
      <c r="BB49">
        <v>321</v>
      </c>
      <c r="BC49">
        <v>328</v>
      </c>
      <c r="BD49" t="s">
        <v>74</v>
      </c>
      <c r="BE49" t="s">
        <v>829</v>
      </c>
      <c r="BF49" t="str">
        <f>HYPERLINK("http://dx.doi.org/10.1111/j.1945-5100.1998.tb01636.x","http://dx.doi.org/10.1111/j.1945-5100.1998.tb01636.x")</f>
        <v>http://dx.doi.org/10.1111/j.1945-5100.1998.tb01636.x</v>
      </c>
      <c r="BG49" t="s">
        <v>74</v>
      </c>
      <c r="BH49" t="s">
        <v>74</v>
      </c>
      <c r="BI49">
        <v>8</v>
      </c>
      <c r="BJ49" t="s">
        <v>143</v>
      </c>
      <c r="BK49" t="s">
        <v>98</v>
      </c>
      <c r="BL49" t="s">
        <v>143</v>
      </c>
      <c r="BM49" t="s">
        <v>800</v>
      </c>
      <c r="BN49" t="s">
        <v>74</v>
      </c>
      <c r="BO49" t="s">
        <v>100</v>
      </c>
      <c r="BP49" t="s">
        <v>74</v>
      </c>
      <c r="BQ49" t="s">
        <v>74</v>
      </c>
      <c r="BR49" t="s">
        <v>101</v>
      </c>
      <c r="BS49" t="s">
        <v>830</v>
      </c>
      <c r="BT49" t="str">
        <f>HYPERLINK("https%3A%2F%2Fwww.webofscience.com%2Fwos%2Fwoscc%2Ffull-record%2FWOS:000072861000016","View Full Record in Web of Science")</f>
        <v>View Full Record in Web of Science</v>
      </c>
    </row>
    <row r="50" spans="1:72" x14ac:dyDescent="0.15">
      <c r="A50" t="s">
        <v>72</v>
      </c>
      <c r="B50" t="s">
        <v>831</v>
      </c>
      <c r="C50" t="s">
        <v>74</v>
      </c>
      <c r="D50" t="s">
        <v>74</v>
      </c>
      <c r="E50" t="s">
        <v>74</v>
      </c>
      <c r="F50" t="s">
        <v>831</v>
      </c>
      <c r="G50" t="s">
        <v>74</v>
      </c>
      <c r="H50" t="s">
        <v>74</v>
      </c>
      <c r="I50" t="s">
        <v>832</v>
      </c>
      <c r="J50" t="s">
        <v>833</v>
      </c>
      <c r="K50" t="s">
        <v>74</v>
      </c>
      <c r="L50" t="s">
        <v>74</v>
      </c>
      <c r="M50" t="s">
        <v>77</v>
      </c>
      <c r="N50" t="s">
        <v>78</v>
      </c>
      <c r="O50" t="s">
        <v>74</v>
      </c>
      <c r="P50" t="s">
        <v>74</v>
      </c>
      <c r="Q50" t="s">
        <v>74</v>
      </c>
      <c r="R50" t="s">
        <v>74</v>
      </c>
      <c r="S50" t="s">
        <v>74</v>
      </c>
      <c r="T50" t="s">
        <v>74</v>
      </c>
      <c r="U50" t="s">
        <v>834</v>
      </c>
      <c r="V50" t="s">
        <v>835</v>
      </c>
      <c r="W50" t="s">
        <v>836</v>
      </c>
      <c r="X50" t="s">
        <v>837</v>
      </c>
      <c r="Y50" t="s">
        <v>838</v>
      </c>
      <c r="Z50" t="s">
        <v>74</v>
      </c>
      <c r="AA50" t="s">
        <v>74</v>
      </c>
      <c r="AB50" t="s">
        <v>74</v>
      </c>
      <c r="AC50" t="s">
        <v>74</v>
      </c>
      <c r="AD50" t="s">
        <v>74</v>
      </c>
      <c r="AE50" t="s">
        <v>74</v>
      </c>
      <c r="AF50" t="s">
        <v>74</v>
      </c>
      <c r="AG50">
        <v>75</v>
      </c>
      <c r="AH50">
        <v>21</v>
      </c>
      <c r="AI50">
        <v>21</v>
      </c>
      <c r="AJ50">
        <v>0</v>
      </c>
      <c r="AK50">
        <v>1</v>
      </c>
      <c r="AL50" t="s">
        <v>839</v>
      </c>
      <c r="AM50" t="s">
        <v>244</v>
      </c>
      <c r="AN50" t="s">
        <v>840</v>
      </c>
      <c r="AO50" t="s">
        <v>841</v>
      </c>
      <c r="AP50" t="s">
        <v>74</v>
      </c>
      <c r="AQ50" t="s">
        <v>74</v>
      </c>
      <c r="AR50" t="s">
        <v>833</v>
      </c>
      <c r="AS50" t="s">
        <v>842</v>
      </c>
      <c r="AT50" t="s">
        <v>663</v>
      </c>
      <c r="AU50">
        <v>1998</v>
      </c>
      <c r="AV50">
        <v>44</v>
      </c>
      <c r="AW50">
        <v>1</v>
      </c>
      <c r="AX50" t="s">
        <v>74</v>
      </c>
      <c r="AY50" t="s">
        <v>74</v>
      </c>
      <c r="AZ50" t="s">
        <v>74</v>
      </c>
      <c r="BA50" t="s">
        <v>74</v>
      </c>
      <c r="BB50">
        <v>1</v>
      </c>
      <c r="BC50">
        <v>42</v>
      </c>
      <c r="BD50" t="s">
        <v>74</v>
      </c>
      <c r="BE50" t="s">
        <v>843</v>
      </c>
      <c r="BF50" t="str">
        <f>HYPERLINK("http://dx.doi.org/10.2307/1486083","http://dx.doi.org/10.2307/1486083")</f>
        <v>http://dx.doi.org/10.2307/1486083</v>
      </c>
      <c r="BG50" t="s">
        <v>74</v>
      </c>
      <c r="BH50" t="s">
        <v>74</v>
      </c>
      <c r="BI50">
        <v>42</v>
      </c>
      <c r="BJ50" t="s">
        <v>734</v>
      </c>
      <c r="BK50" t="s">
        <v>98</v>
      </c>
      <c r="BL50" t="s">
        <v>734</v>
      </c>
      <c r="BM50" t="s">
        <v>844</v>
      </c>
      <c r="BN50" t="s">
        <v>74</v>
      </c>
      <c r="BO50" t="s">
        <v>74</v>
      </c>
      <c r="BP50" t="s">
        <v>74</v>
      </c>
      <c r="BQ50" t="s">
        <v>74</v>
      </c>
      <c r="BR50" t="s">
        <v>101</v>
      </c>
      <c r="BS50" t="s">
        <v>845</v>
      </c>
      <c r="BT50" t="str">
        <f>HYPERLINK("https%3A%2F%2Fwww.webofscience.com%2Fwos%2Fwoscc%2Ffull-record%2FWOS:000073448500001","View Full Record in Web of Science")</f>
        <v>View Full Record in Web of Science</v>
      </c>
    </row>
    <row r="51" spans="1:72" x14ac:dyDescent="0.15">
      <c r="A51" t="s">
        <v>72</v>
      </c>
      <c r="B51" t="s">
        <v>846</v>
      </c>
      <c r="C51" t="s">
        <v>74</v>
      </c>
      <c r="D51" t="s">
        <v>74</v>
      </c>
      <c r="E51" t="s">
        <v>74</v>
      </c>
      <c r="F51" t="s">
        <v>846</v>
      </c>
      <c r="G51" t="s">
        <v>74</v>
      </c>
      <c r="H51" t="s">
        <v>74</v>
      </c>
      <c r="I51" t="s">
        <v>847</v>
      </c>
      <c r="J51" t="s">
        <v>848</v>
      </c>
      <c r="K51" t="s">
        <v>74</v>
      </c>
      <c r="L51" t="s">
        <v>74</v>
      </c>
      <c r="M51" t="s">
        <v>77</v>
      </c>
      <c r="N51" t="s">
        <v>78</v>
      </c>
      <c r="O51" t="s">
        <v>74</v>
      </c>
      <c r="P51" t="s">
        <v>74</v>
      </c>
      <c r="Q51" t="s">
        <v>74</v>
      </c>
      <c r="R51" t="s">
        <v>74</v>
      </c>
      <c r="S51" t="s">
        <v>74</v>
      </c>
      <c r="T51" t="s">
        <v>849</v>
      </c>
      <c r="U51" t="s">
        <v>74</v>
      </c>
      <c r="V51" t="s">
        <v>850</v>
      </c>
      <c r="W51" t="s">
        <v>851</v>
      </c>
      <c r="X51" t="s">
        <v>852</v>
      </c>
      <c r="Y51" t="s">
        <v>853</v>
      </c>
      <c r="Z51" t="s">
        <v>74</v>
      </c>
      <c r="AA51" t="s">
        <v>74</v>
      </c>
      <c r="AB51" t="s">
        <v>74</v>
      </c>
      <c r="AC51" t="s">
        <v>74</v>
      </c>
      <c r="AD51" t="s">
        <v>74</v>
      </c>
      <c r="AE51" t="s">
        <v>74</v>
      </c>
      <c r="AF51" t="s">
        <v>74</v>
      </c>
      <c r="AG51">
        <v>13</v>
      </c>
      <c r="AH51">
        <v>161</v>
      </c>
      <c r="AI51">
        <v>179</v>
      </c>
      <c r="AJ51">
        <v>1</v>
      </c>
      <c r="AK51">
        <v>21</v>
      </c>
      <c r="AL51" t="s">
        <v>854</v>
      </c>
      <c r="AM51" t="s">
        <v>855</v>
      </c>
      <c r="AN51" t="s">
        <v>856</v>
      </c>
      <c r="AO51" t="s">
        <v>857</v>
      </c>
      <c r="AP51" t="s">
        <v>74</v>
      </c>
      <c r="AQ51" t="s">
        <v>74</v>
      </c>
      <c r="AR51" t="s">
        <v>858</v>
      </c>
      <c r="AS51" t="s">
        <v>859</v>
      </c>
      <c r="AT51" t="s">
        <v>219</v>
      </c>
      <c r="AU51">
        <v>1998</v>
      </c>
      <c r="AV51">
        <v>17</v>
      </c>
      <c r="AW51">
        <v>2</v>
      </c>
      <c r="AX51" t="s">
        <v>74</v>
      </c>
      <c r="AY51" t="s">
        <v>74</v>
      </c>
      <c r="AZ51" t="s">
        <v>74</v>
      </c>
      <c r="BA51" t="s">
        <v>74</v>
      </c>
      <c r="BB51">
        <v>117</v>
      </c>
      <c r="BC51">
        <v>127</v>
      </c>
      <c r="BD51" t="s">
        <v>74</v>
      </c>
      <c r="BE51" t="s">
        <v>860</v>
      </c>
      <c r="BF51" t="str">
        <f>HYPERLINK("http://dx.doi.org/10.1023/A:1007978326982","http://dx.doi.org/10.1023/A:1007978326982")</f>
        <v>http://dx.doi.org/10.1023/A:1007978326982</v>
      </c>
      <c r="BG51" t="s">
        <v>74</v>
      </c>
      <c r="BH51" t="s">
        <v>74</v>
      </c>
      <c r="BI51">
        <v>11</v>
      </c>
      <c r="BJ51" t="s">
        <v>861</v>
      </c>
      <c r="BK51" t="s">
        <v>98</v>
      </c>
      <c r="BL51" t="s">
        <v>862</v>
      </c>
      <c r="BM51" t="s">
        <v>863</v>
      </c>
      <c r="BN51" t="s">
        <v>74</v>
      </c>
      <c r="BO51" t="s">
        <v>74</v>
      </c>
      <c r="BP51" t="s">
        <v>74</v>
      </c>
      <c r="BQ51" t="s">
        <v>74</v>
      </c>
      <c r="BR51" t="s">
        <v>101</v>
      </c>
      <c r="BS51" t="s">
        <v>864</v>
      </c>
      <c r="BT51" t="str">
        <f>HYPERLINK("https%3A%2F%2Fwww.webofscience.com%2Fwos%2Fwoscc%2Ffull-record%2FWOS:000075804300002","View Full Record in Web of Science")</f>
        <v>View Full Record in Web of Science</v>
      </c>
    </row>
    <row r="52" spans="1:72" x14ac:dyDescent="0.15">
      <c r="A52" t="s">
        <v>72</v>
      </c>
      <c r="B52" t="s">
        <v>865</v>
      </c>
      <c r="C52" t="s">
        <v>74</v>
      </c>
      <c r="D52" t="s">
        <v>74</v>
      </c>
      <c r="E52" t="s">
        <v>74</v>
      </c>
      <c r="F52" t="s">
        <v>865</v>
      </c>
      <c r="G52" t="s">
        <v>74</v>
      </c>
      <c r="H52" t="s">
        <v>74</v>
      </c>
      <c r="I52" t="s">
        <v>866</v>
      </c>
      <c r="J52" t="s">
        <v>867</v>
      </c>
      <c r="K52" t="s">
        <v>74</v>
      </c>
      <c r="L52" t="s">
        <v>74</v>
      </c>
      <c r="M52" t="s">
        <v>77</v>
      </c>
      <c r="N52" t="s">
        <v>78</v>
      </c>
      <c r="O52" t="s">
        <v>74</v>
      </c>
      <c r="P52" t="s">
        <v>74</v>
      </c>
      <c r="Q52" t="s">
        <v>74</v>
      </c>
      <c r="R52" t="s">
        <v>74</v>
      </c>
      <c r="S52" t="s">
        <v>74</v>
      </c>
      <c r="T52" t="s">
        <v>868</v>
      </c>
      <c r="U52" t="s">
        <v>869</v>
      </c>
      <c r="V52" t="s">
        <v>870</v>
      </c>
      <c r="W52" t="s">
        <v>871</v>
      </c>
      <c r="X52" t="s">
        <v>872</v>
      </c>
      <c r="Y52" t="s">
        <v>873</v>
      </c>
      <c r="Z52" t="s">
        <v>874</v>
      </c>
      <c r="AA52" t="s">
        <v>875</v>
      </c>
      <c r="AB52" t="s">
        <v>876</v>
      </c>
      <c r="AC52" t="s">
        <v>74</v>
      </c>
      <c r="AD52" t="s">
        <v>74</v>
      </c>
      <c r="AE52" t="s">
        <v>74</v>
      </c>
      <c r="AF52" t="s">
        <v>74</v>
      </c>
      <c r="AG52">
        <v>20</v>
      </c>
      <c r="AH52">
        <v>25</v>
      </c>
      <c r="AI52">
        <v>26</v>
      </c>
      <c r="AJ52">
        <v>0</v>
      </c>
      <c r="AK52">
        <v>14</v>
      </c>
      <c r="AL52" t="s">
        <v>877</v>
      </c>
      <c r="AM52" t="s">
        <v>826</v>
      </c>
      <c r="AN52" t="s">
        <v>827</v>
      </c>
      <c r="AO52" t="s">
        <v>878</v>
      </c>
      <c r="AP52" t="s">
        <v>879</v>
      </c>
      <c r="AQ52" t="s">
        <v>74</v>
      </c>
      <c r="AR52" t="s">
        <v>880</v>
      </c>
      <c r="AS52" t="s">
        <v>881</v>
      </c>
      <c r="AT52" t="s">
        <v>219</v>
      </c>
      <c r="AU52">
        <v>1998</v>
      </c>
      <c r="AV52">
        <v>23</v>
      </c>
      <c r="AW52">
        <v>1</v>
      </c>
      <c r="AX52" t="s">
        <v>74</v>
      </c>
      <c r="AY52" t="s">
        <v>74</v>
      </c>
      <c r="AZ52" t="s">
        <v>74</v>
      </c>
      <c r="BA52" t="s">
        <v>74</v>
      </c>
      <c r="BB52">
        <v>1</v>
      </c>
      <c r="BC52">
        <v>6</v>
      </c>
      <c r="BD52" t="s">
        <v>74</v>
      </c>
      <c r="BE52" t="s">
        <v>882</v>
      </c>
      <c r="BF52" t="str">
        <f>HYPERLINK("http://dx.doi.org/10.1046/j.1365-3032.1998.2310001.x","http://dx.doi.org/10.1046/j.1365-3032.1998.2310001.x")</f>
        <v>http://dx.doi.org/10.1046/j.1365-3032.1998.2310001.x</v>
      </c>
      <c r="BG52" t="s">
        <v>74</v>
      </c>
      <c r="BH52" t="s">
        <v>74</v>
      </c>
      <c r="BI52">
        <v>6</v>
      </c>
      <c r="BJ52" t="s">
        <v>883</v>
      </c>
      <c r="BK52" t="s">
        <v>98</v>
      </c>
      <c r="BL52" t="s">
        <v>883</v>
      </c>
      <c r="BM52" t="s">
        <v>884</v>
      </c>
      <c r="BN52" t="s">
        <v>74</v>
      </c>
      <c r="BO52" t="s">
        <v>74</v>
      </c>
      <c r="BP52" t="s">
        <v>74</v>
      </c>
      <c r="BQ52" t="s">
        <v>74</v>
      </c>
      <c r="BR52" t="s">
        <v>101</v>
      </c>
      <c r="BS52" t="s">
        <v>885</v>
      </c>
      <c r="BT52" t="str">
        <f>HYPERLINK("https%3A%2F%2Fwww.webofscience.com%2Fwos%2Fwoscc%2Ffull-record%2FWOS:000072940000001","View Full Record in Web of Science")</f>
        <v>View Full Record in Web of Science</v>
      </c>
    </row>
    <row r="53" spans="1:72" x14ac:dyDescent="0.15">
      <c r="A53" t="s">
        <v>72</v>
      </c>
      <c r="B53" t="s">
        <v>886</v>
      </c>
      <c r="C53" t="s">
        <v>74</v>
      </c>
      <c r="D53" t="s">
        <v>74</v>
      </c>
      <c r="E53" t="s">
        <v>74</v>
      </c>
      <c r="F53" t="s">
        <v>886</v>
      </c>
      <c r="G53" t="s">
        <v>74</v>
      </c>
      <c r="H53" t="s">
        <v>74</v>
      </c>
      <c r="I53" t="s">
        <v>887</v>
      </c>
      <c r="J53" t="s">
        <v>888</v>
      </c>
      <c r="K53" t="s">
        <v>74</v>
      </c>
      <c r="L53" t="s">
        <v>74</v>
      </c>
      <c r="M53" t="s">
        <v>77</v>
      </c>
      <c r="N53" t="s">
        <v>78</v>
      </c>
      <c r="O53" t="s">
        <v>74</v>
      </c>
      <c r="P53" t="s">
        <v>74</v>
      </c>
      <c r="Q53" t="s">
        <v>74</v>
      </c>
      <c r="R53" t="s">
        <v>74</v>
      </c>
      <c r="S53" t="s">
        <v>74</v>
      </c>
      <c r="T53" t="s">
        <v>74</v>
      </c>
      <c r="U53" t="s">
        <v>889</v>
      </c>
      <c r="V53" t="s">
        <v>890</v>
      </c>
      <c r="W53" t="s">
        <v>891</v>
      </c>
      <c r="X53" t="s">
        <v>892</v>
      </c>
      <c r="Y53" t="s">
        <v>893</v>
      </c>
      <c r="Z53" t="s">
        <v>894</v>
      </c>
      <c r="AA53" t="s">
        <v>895</v>
      </c>
      <c r="AB53" t="s">
        <v>896</v>
      </c>
      <c r="AC53" t="s">
        <v>74</v>
      </c>
      <c r="AD53" t="s">
        <v>74</v>
      </c>
      <c r="AE53" t="s">
        <v>74</v>
      </c>
      <c r="AF53" t="s">
        <v>74</v>
      </c>
      <c r="AG53">
        <v>47</v>
      </c>
      <c r="AH53">
        <v>66</v>
      </c>
      <c r="AI53">
        <v>70</v>
      </c>
      <c r="AJ53">
        <v>0</v>
      </c>
      <c r="AK53">
        <v>16</v>
      </c>
      <c r="AL53" t="s">
        <v>897</v>
      </c>
      <c r="AM53" t="s">
        <v>244</v>
      </c>
      <c r="AN53" t="s">
        <v>898</v>
      </c>
      <c r="AO53" t="s">
        <v>899</v>
      </c>
      <c r="AP53" t="s">
        <v>74</v>
      </c>
      <c r="AQ53" t="s">
        <v>74</v>
      </c>
      <c r="AR53" t="s">
        <v>900</v>
      </c>
      <c r="AS53" t="s">
        <v>901</v>
      </c>
      <c r="AT53" t="s">
        <v>219</v>
      </c>
      <c r="AU53">
        <v>1998</v>
      </c>
      <c r="AV53">
        <v>19</v>
      </c>
      <c r="AW53">
        <v>3</v>
      </c>
      <c r="AX53" t="s">
        <v>74</v>
      </c>
      <c r="AY53" t="s">
        <v>74</v>
      </c>
      <c r="AZ53" t="s">
        <v>74</v>
      </c>
      <c r="BA53" t="s">
        <v>74</v>
      </c>
      <c r="BB53">
        <v>160</v>
      </c>
      <c r="BC53">
        <v>166</v>
      </c>
      <c r="BD53" t="s">
        <v>74</v>
      </c>
      <c r="BE53" t="s">
        <v>902</v>
      </c>
      <c r="BF53" t="str">
        <f>HYPERLINK("http://dx.doi.org/10.1007/s003000050229","http://dx.doi.org/10.1007/s003000050229")</f>
        <v>http://dx.doi.org/10.1007/s003000050229</v>
      </c>
      <c r="BG53" t="s">
        <v>74</v>
      </c>
      <c r="BH53" t="s">
        <v>74</v>
      </c>
      <c r="BI53">
        <v>7</v>
      </c>
      <c r="BJ53" t="s">
        <v>903</v>
      </c>
      <c r="BK53" t="s">
        <v>98</v>
      </c>
      <c r="BL53" t="s">
        <v>904</v>
      </c>
      <c r="BM53" t="s">
        <v>905</v>
      </c>
      <c r="BN53" t="s">
        <v>74</v>
      </c>
      <c r="BO53" t="s">
        <v>74</v>
      </c>
      <c r="BP53" t="s">
        <v>74</v>
      </c>
      <c r="BQ53" t="s">
        <v>74</v>
      </c>
      <c r="BR53" t="s">
        <v>101</v>
      </c>
      <c r="BS53" t="s">
        <v>906</v>
      </c>
      <c r="BT53" t="str">
        <f>HYPERLINK("https%3A%2F%2Fwww.webofscience.com%2Fwos%2Fwoscc%2Ffull-record%2FWOS:000072425800002","View Full Record in Web of Science")</f>
        <v>View Full Record in Web of Science</v>
      </c>
    </row>
    <row r="54" spans="1:72" x14ac:dyDescent="0.15">
      <c r="A54" t="s">
        <v>72</v>
      </c>
      <c r="B54" t="s">
        <v>907</v>
      </c>
      <c r="C54" t="s">
        <v>74</v>
      </c>
      <c r="D54" t="s">
        <v>74</v>
      </c>
      <c r="E54" t="s">
        <v>74</v>
      </c>
      <c r="F54" t="s">
        <v>907</v>
      </c>
      <c r="G54" t="s">
        <v>74</v>
      </c>
      <c r="H54" t="s">
        <v>74</v>
      </c>
      <c r="I54" t="s">
        <v>908</v>
      </c>
      <c r="J54" t="s">
        <v>888</v>
      </c>
      <c r="K54" t="s">
        <v>74</v>
      </c>
      <c r="L54" t="s">
        <v>74</v>
      </c>
      <c r="M54" t="s">
        <v>77</v>
      </c>
      <c r="N54" t="s">
        <v>78</v>
      </c>
      <c r="O54" t="s">
        <v>74</v>
      </c>
      <c r="P54" t="s">
        <v>74</v>
      </c>
      <c r="Q54" t="s">
        <v>74</v>
      </c>
      <c r="R54" t="s">
        <v>74</v>
      </c>
      <c r="S54" t="s">
        <v>74</v>
      </c>
      <c r="T54" t="s">
        <v>74</v>
      </c>
      <c r="U54" t="s">
        <v>909</v>
      </c>
      <c r="V54" t="s">
        <v>910</v>
      </c>
      <c r="W54" t="s">
        <v>372</v>
      </c>
      <c r="X54" t="s">
        <v>322</v>
      </c>
      <c r="Y54" t="s">
        <v>873</v>
      </c>
      <c r="Z54" t="s">
        <v>911</v>
      </c>
      <c r="AA54" t="s">
        <v>912</v>
      </c>
      <c r="AB54" t="s">
        <v>913</v>
      </c>
      <c r="AC54" t="s">
        <v>74</v>
      </c>
      <c r="AD54" t="s">
        <v>74</v>
      </c>
      <c r="AE54" t="s">
        <v>74</v>
      </c>
      <c r="AF54" t="s">
        <v>74</v>
      </c>
      <c r="AG54">
        <v>66</v>
      </c>
      <c r="AH54">
        <v>39</v>
      </c>
      <c r="AI54">
        <v>43</v>
      </c>
      <c r="AJ54">
        <v>2</v>
      </c>
      <c r="AK54">
        <v>13</v>
      </c>
      <c r="AL54" t="s">
        <v>914</v>
      </c>
      <c r="AM54" t="s">
        <v>244</v>
      </c>
      <c r="AN54" t="s">
        <v>915</v>
      </c>
      <c r="AO54" t="s">
        <v>899</v>
      </c>
      <c r="AP54" t="s">
        <v>916</v>
      </c>
      <c r="AQ54" t="s">
        <v>74</v>
      </c>
      <c r="AR54" t="s">
        <v>900</v>
      </c>
      <c r="AS54" t="s">
        <v>901</v>
      </c>
      <c r="AT54" t="s">
        <v>219</v>
      </c>
      <c r="AU54">
        <v>1998</v>
      </c>
      <c r="AV54">
        <v>19</v>
      </c>
      <c r="AW54">
        <v>3</v>
      </c>
      <c r="AX54" t="s">
        <v>74</v>
      </c>
      <c r="AY54" t="s">
        <v>74</v>
      </c>
      <c r="AZ54" t="s">
        <v>74</v>
      </c>
      <c r="BA54" t="s">
        <v>74</v>
      </c>
      <c r="BB54">
        <v>177</v>
      </c>
      <c r="BC54">
        <v>182</v>
      </c>
      <c r="BD54" t="s">
        <v>74</v>
      </c>
      <c r="BE54" t="s">
        <v>917</v>
      </c>
      <c r="BF54" t="str">
        <f>HYPERLINK("http://dx.doi.org/10.1007/s003000050232","http://dx.doi.org/10.1007/s003000050232")</f>
        <v>http://dx.doi.org/10.1007/s003000050232</v>
      </c>
      <c r="BG54" t="s">
        <v>74</v>
      </c>
      <c r="BH54" t="s">
        <v>74</v>
      </c>
      <c r="BI54">
        <v>6</v>
      </c>
      <c r="BJ54" t="s">
        <v>903</v>
      </c>
      <c r="BK54" t="s">
        <v>98</v>
      </c>
      <c r="BL54" t="s">
        <v>904</v>
      </c>
      <c r="BM54" t="s">
        <v>905</v>
      </c>
      <c r="BN54" t="s">
        <v>74</v>
      </c>
      <c r="BO54" t="s">
        <v>74</v>
      </c>
      <c r="BP54" t="s">
        <v>74</v>
      </c>
      <c r="BQ54" t="s">
        <v>74</v>
      </c>
      <c r="BR54" t="s">
        <v>101</v>
      </c>
      <c r="BS54" t="s">
        <v>918</v>
      </c>
      <c r="BT54" t="str">
        <f>HYPERLINK("https%3A%2F%2Fwww.webofscience.com%2Fwos%2Fwoscc%2Ffull-record%2FWOS:000072425800005","View Full Record in Web of Science")</f>
        <v>View Full Record in Web of Science</v>
      </c>
    </row>
    <row r="55" spans="1:72" x14ac:dyDescent="0.15">
      <c r="A55" t="s">
        <v>72</v>
      </c>
      <c r="B55" t="s">
        <v>919</v>
      </c>
      <c r="C55" t="s">
        <v>74</v>
      </c>
      <c r="D55" t="s">
        <v>74</v>
      </c>
      <c r="E55" t="s">
        <v>74</v>
      </c>
      <c r="F55" t="s">
        <v>919</v>
      </c>
      <c r="G55" t="s">
        <v>74</v>
      </c>
      <c r="H55" t="s">
        <v>74</v>
      </c>
      <c r="I55" t="s">
        <v>920</v>
      </c>
      <c r="J55" t="s">
        <v>888</v>
      </c>
      <c r="K55" t="s">
        <v>74</v>
      </c>
      <c r="L55" t="s">
        <v>74</v>
      </c>
      <c r="M55" t="s">
        <v>77</v>
      </c>
      <c r="N55" t="s">
        <v>78</v>
      </c>
      <c r="O55" t="s">
        <v>74</v>
      </c>
      <c r="P55" t="s">
        <v>74</v>
      </c>
      <c r="Q55" t="s">
        <v>74</v>
      </c>
      <c r="R55" t="s">
        <v>74</v>
      </c>
      <c r="S55" t="s">
        <v>74</v>
      </c>
      <c r="T55" t="s">
        <v>74</v>
      </c>
      <c r="U55" t="s">
        <v>74</v>
      </c>
      <c r="V55" t="s">
        <v>921</v>
      </c>
      <c r="W55" t="s">
        <v>922</v>
      </c>
      <c r="X55" t="s">
        <v>923</v>
      </c>
      <c r="Y55" t="s">
        <v>924</v>
      </c>
      <c r="Z55" t="s">
        <v>74</v>
      </c>
      <c r="AA55" t="s">
        <v>74</v>
      </c>
      <c r="AB55" t="s">
        <v>925</v>
      </c>
      <c r="AC55" t="s">
        <v>74</v>
      </c>
      <c r="AD55" t="s">
        <v>74</v>
      </c>
      <c r="AE55" t="s">
        <v>74</v>
      </c>
      <c r="AF55" t="s">
        <v>74</v>
      </c>
      <c r="AG55">
        <v>21</v>
      </c>
      <c r="AH55">
        <v>34</v>
      </c>
      <c r="AI55">
        <v>42</v>
      </c>
      <c r="AJ55">
        <v>0</v>
      </c>
      <c r="AK55">
        <v>14</v>
      </c>
      <c r="AL55" t="s">
        <v>897</v>
      </c>
      <c r="AM55" t="s">
        <v>244</v>
      </c>
      <c r="AN55" t="s">
        <v>898</v>
      </c>
      <c r="AO55" t="s">
        <v>899</v>
      </c>
      <c r="AP55" t="s">
        <v>74</v>
      </c>
      <c r="AQ55" t="s">
        <v>74</v>
      </c>
      <c r="AR55" t="s">
        <v>900</v>
      </c>
      <c r="AS55" t="s">
        <v>901</v>
      </c>
      <c r="AT55" t="s">
        <v>219</v>
      </c>
      <c r="AU55">
        <v>1998</v>
      </c>
      <c r="AV55">
        <v>19</v>
      </c>
      <c r="AW55">
        <v>3</v>
      </c>
      <c r="AX55" t="s">
        <v>74</v>
      </c>
      <c r="AY55" t="s">
        <v>74</v>
      </c>
      <c r="AZ55" t="s">
        <v>74</v>
      </c>
      <c r="BA55" t="s">
        <v>74</v>
      </c>
      <c r="BB55">
        <v>183</v>
      </c>
      <c r="BC55">
        <v>192</v>
      </c>
      <c r="BD55" t="s">
        <v>74</v>
      </c>
      <c r="BE55" t="s">
        <v>926</v>
      </c>
      <c r="BF55" t="str">
        <f>HYPERLINK("http://dx.doi.org/10.1007/s003000050233","http://dx.doi.org/10.1007/s003000050233")</f>
        <v>http://dx.doi.org/10.1007/s003000050233</v>
      </c>
      <c r="BG55" t="s">
        <v>74</v>
      </c>
      <c r="BH55" t="s">
        <v>74</v>
      </c>
      <c r="BI55">
        <v>10</v>
      </c>
      <c r="BJ55" t="s">
        <v>903</v>
      </c>
      <c r="BK55" t="s">
        <v>98</v>
      </c>
      <c r="BL55" t="s">
        <v>904</v>
      </c>
      <c r="BM55" t="s">
        <v>905</v>
      </c>
      <c r="BN55" t="s">
        <v>74</v>
      </c>
      <c r="BO55" t="s">
        <v>74</v>
      </c>
      <c r="BP55" t="s">
        <v>74</v>
      </c>
      <c r="BQ55" t="s">
        <v>74</v>
      </c>
      <c r="BR55" t="s">
        <v>101</v>
      </c>
      <c r="BS55" t="s">
        <v>927</v>
      </c>
      <c r="BT55" t="str">
        <f>HYPERLINK("https%3A%2F%2Fwww.webofscience.com%2Fwos%2Fwoscc%2Ffull-record%2FWOS:000072425800006","View Full Record in Web of Science")</f>
        <v>View Full Record in Web of Science</v>
      </c>
    </row>
    <row r="56" spans="1:72" x14ac:dyDescent="0.15">
      <c r="A56" t="s">
        <v>72</v>
      </c>
      <c r="B56" t="s">
        <v>928</v>
      </c>
      <c r="C56" t="s">
        <v>74</v>
      </c>
      <c r="D56" t="s">
        <v>74</v>
      </c>
      <c r="E56" t="s">
        <v>74</v>
      </c>
      <c r="F56" t="s">
        <v>928</v>
      </c>
      <c r="G56" t="s">
        <v>74</v>
      </c>
      <c r="H56" t="s">
        <v>74</v>
      </c>
      <c r="I56" t="s">
        <v>929</v>
      </c>
      <c r="J56" t="s">
        <v>888</v>
      </c>
      <c r="K56" t="s">
        <v>74</v>
      </c>
      <c r="L56" t="s">
        <v>74</v>
      </c>
      <c r="M56" t="s">
        <v>77</v>
      </c>
      <c r="N56" t="s">
        <v>78</v>
      </c>
      <c r="O56" t="s">
        <v>74</v>
      </c>
      <c r="P56" t="s">
        <v>74</v>
      </c>
      <c r="Q56" t="s">
        <v>74</v>
      </c>
      <c r="R56" t="s">
        <v>74</v>
      </c>
      <c r="S56" t="s">
        <v>74</v>
      </c>
      <c r="T56" t="s">
        <v>74</v>
      </c>
      <c r="U56" t="s">
        <v>930</v>
      </c>
      <c r="V56" t="s">
        <v>931</v>
      </c>
      <c r="W56" t="s">
        <v>372</v>
      </c>
      <c r="X56" t="s">
        <v>322</v>
      </c>
      <c r="Y56" t="s">
        <v>932</v>
      </c>
      <c r="Z56" t="s">
        <v>74</v>
      </c>
      <c r="AA56" t="s">
        <v>74</v>
      </c>
      <c r="AB56" t="s">
        <v>74</v>
      </c>
      <c r="AC56" t="s">
        <v>74</v>
      </c>
      <c r="AD56" t="s">
        <v>74</v>
      </c>
      <c r="AE56" t="s">
        <v>74</v>
      </c>
      <c r="AF56" t="s">
        <v>74</v>
      </c>
      <c r="AG56">
        <v>35</v>
      </c>
      <c r="AH56">
        <v>22</v>
      </c>
      <c r="AI56">
        <v>22</v>
      </c>
      <c r="AJ56">
        <v>0</v>
      </c>
      <c r="AK56">
        <v>12</v>
      </c>
      <c r="AL56" t="s">
        <v>897</v>
      </c>
      <c r="AM56" t="s">
        <v>244</v>
      </c>
      <c r="AN56" t="s">
        <v>898</v>
      </c>
      <c r="AO56" t="s">
        <v>899</v>
      </c>
      <c r="AP56" t="s">
        <v>74</v>
      </c>
      <c r="AQ56" t="s">
        <v>74</v>
      </c>
      <c r="AR56" t="s">
        <v>900</v>
      </c>
      <c r="AS56" t="s">
        <v>901</v>
      </c>
      <c r="AT56" t="s">
        <v>219</v>
      </c>
      <c r="AU56">
        <v>1998</v>
      </c>
      <c r="AV56">
        <v>19</v>
      </c>
      <c r="AW56">
        <v>3</v>
      </c>
      <c r="AX56" t="s">
        <v>74</v>
      </c>
      <c r="AY56" t="s">
        <v>74</v>
      </c>
      <c r="AZ56" t="s">
        <v>74</v>
      </c>
      <c r="BA56" t="s">
        <v>74</v>
      </c>
      <c r="BB56">
        <v>198</v>
      </c>
      <c r="BC56">
        <v>205</v>
      </c>
      <c r="BD56" t="s">
        <v>74</v>
      </c>
      <c r="BE56" t="s">
        <v>933</v>
      </c>
      <c r="BF56" t="str">
        <f>HYPERLINK("http://dx.doi.org/10.1007/s003000050235","http://dx.doi.org/10.1007/s003000050235")</f>
        <v>http://dx.doi.org/10.1007/s003000050235</v>
      </c>
      <c r="BG56" t="s">
        <v>74</v>
      </c>
      <c r="BH56" t="s">
        <v>74</v>
      </c>
      <c r="BI56">
        <v>8</v>
      </c>
      <c r="BJ56" t="s">
        <v>903</v>
      </c>
      <c r="BK56" t="s">
        <v>98</v>
      </c>
      <c r="BL56" t="s">
        <v>904</v>
      </c>
      <c r="BM56" t="s">
        <v>905</v>
      </c>
      <c r="BN56" t="s">
        <v>74</v>
      </c>
      <c r="BO56" t="s">
        <v>74</v>
      </c>
      <c r="BP56" t="s">
        <v>74</v>
      </c>
      <c r="BQ56" t="s">
        <v>74</v>
      </c>
      <c r="BR56" t="s">
        <v>101</v>
      </c>
      <c r="BS56" t="s">
        <v>934</v>
      </c>
      <c r="BT56" t="str">
        <f>HYPERLINK("https%3A%2F%2Fwww.webofscience.com%2Fwos%2Fwoscc%2Ffull-record%2FWOS:000072425800008","View Full Record in Web of Science")</f>
        <v>View Full Record in Web of Science</v>
      </c>
    </row>
    <row r="57" spans="1:72" x14ac:dyDescent="0.15">
      <c r="A57" t="s">
        <v>72</v>
      </c>
      <c r="B57" t="s">
        <v>935</v>
      </c>
      <c r="C57" t="s">
        <v>74</v>
      </c>
      <c r="D57" t="s">
        <v>74</v>
      </c>
      <c r="E57" t="s">
        <v>74</v>
      </c>
      <c r="F57" t="s">
        <v>935</v>
      </c>
      <c r="G57" t="s">
        <v>74</v>
      </c>
      <c r="H57" t="s">
        <v>74</v>
      </c>
      <c r="I57" t="s">
        <v>936</v>
      </c>
      <c r="J57" t="s">
        <v>937</v>
      </c>
      <c r="K57" t="s">
        <v>74</v>
      </c>
      <c r="L57" t="s">
        <v>74</v>
      </c>
      <c r="M57" t="s">
        <v>77</v>
      </c>
      <c r="N57" t="s">
        <v>78</v>
      </c>
      <c r="O57" t="s">
        <v>74</v>
      </c>
      <c r="P57" t="s">
        <v>74</v>
      </c>
      <c r="Q57" t="s">
        <v>74</v>
      </c>
      <c r="R57" t="s">
        <v>74</v>
      </c>
      <c r="S57" t="s">
        <v>74</v>
      </c>
      <c r="T57" t="s">
        <v>938</v>
      </c>
      <c r="U57" t="s">
        <v>939</v>
      </c>
      <c r="V57" t="s">
        <v>940</v>
      </c>
      <c r="W57" t="s">
        <v>941</v>
      </c>
      <c r="X57" t="s">
        <v>942</v>
      </c>
      <c r="Y57" t="s">
        <v>943</v>
      </c>
      <c r="Z57" t="s">
        <v>74</v>
      </c>
      <c r="AA57" t="s">
        <v>944</v>
      </c>
      <c r="AB57" t="s">
        <v>945</v>
      </c>
      <c r="AC57" t="s">
        <v>74</v>
      </c>
      <c r="AD57" t="s">
        <v>74</v>
      </c>
      <c r="AE57" t="s">
        <v>74</v>
      </c>
      <c r="AF57" t="s">
        <v>74</v>
      </c>
      <c r="AG57">
        <v>49</v>
      </c>
      <c r="AH57">
        <v>170</v>
      </c>
      <c r="AI57">
        <v>179</v>
      </c>
      <c r="AJ57">
        <v>0</v>
      </c>
      <c r="AK57">
        <v>13</v>
      </c>
      <c r="AL57" t="s">
        <v>243</v>
      </c>
      <c r="AM57" t="s">
        <v>244</v>
      </c>
      <c r="AN57" t="s">
        <v>946</v>
      </c>
      <c r="AO57" t="s">
        <v>947</v>
      </c>
      <c r="AP57" t="s">
        <v>74</v>
      </c>
      <c r="AQ57" t="s">
        <v>74</v>
      </c>
      <c r="AR57" t="s">
        <v>948</v>
      </c>
      <c r="AS57" t="s">
        <v>949</v>
      </c>
      <c r="AT57" t="s">
        <v>219</v>
      </c>
      <c r="AU57">
        <v>1998</v>
      </c>
      <c r="AV57">
        <v>7</v>
      </c>
      <c r="AW57">
        <v>3</v>
      </c>
      <c r="AX57" t="s">
        <v>74</v>
      </c>
      <c r="AY57" t="s">
        <v>74</v>
      </c>
      <c r="AZ57" t="s">
        <v>74</v>
      </c>
      <c r="BA57" t="s">
        <v>74</v>
      </c>
      <c r="BB57">
        <v>564</v>
      </c>
      <c r="BC57">
        <v>572</v>
      </c>
      <c r="BD57" t="s">
        <v>74</v>
      </c>
      <c r="BE57" t="s">
        <v>950</v>
      </c>
      <c r="BF57" t="str">
        <f>HYPERLINK("http://dx.doi.org/10.1002/pro.5560070304","http://dx.doi.org/10.1002/pro.5560070304")</f>
        <v>http://dx.doi.org/10.1002/pro.5560070304</v>
      </c>
      <c r="BG57" t="s">
        <v>74</v>
      </c>
      <c r="BH57" t="s">
        <v>74</v>
      </c>
      <c r="BI57">
        <v>9</v>
      </c>
      <c r="BJ57" t="s">
        <v>951</v>
      </c>
      <c r="BK57" t="s">
        <v>98</v>
      </c>
      <c r="BL57" t="s">
        <v>951</v>
      </c>
      <c r="BM57" t="s">
        <v>952</v>
      </c>
      <c r="BN57">
        <v>9541387</v>
      </c>
      <c r="BO57" t="s">
        <v>953</v>
      </c>
      <c r="BP57" t="s">
        <v>74</v>
      </c>
      <c r="BQ57" t="s">
        <v>74</v>
      </c>
      <c r="BR57" t="s">
        <v>101</v>
      </c>
      <c r="BS57" t="s">
        <v>954</v>
      </c>
      <c r="BT57" t="str">
        <f>HYPERLINK("https%3A%2F%2Fwww.webofscience.com%2Fwos%2Fwoscc%2Ffull-record%2FWOS:000072530000004","View Full Record in Web of Science")</f>
        <v>View Full Record in Web of Science</v>
      </c>
    </row>
    <row r="58" spans="1:72" x14ac:dyDescent="0.15">
      <c r="A58" t="s">
        <v>72</v>
      </c>
      <c r="B58" t="s">
        <v>955</v>
      </c>
      <c r="C58" t="s">
        <v>74</v>
      </c>
      <c r="D58" t="s">
        <v>74</v>
      </c>
      <c r="E58" t="s">
        <v>74</v>
      </c>
      <c r="F58" t="s">
        <v>955</v>
      </c>
      <c r="G58" t="s">
        <v>74</v>
      </c>
      <c r="H58" t="s">
        <v>74</v>
      </c>
      <c r="I58" t="s">
        <v>956</v>
      </c>
      <c r="J58" t="s">
        <v>957</v>
      </c>
      <c r="K58" t="s">
        <v>74</v>
      </c>
      <c r="L58" t="s">
        <v>74</v>
      </c>
      <c r="M58" t="s">
        <v>77</v>
      </c>
      <c r="N58" t="s">
        <v>78</v>
      </c>
      <c r="O58" t="s">
        <v>74</v>
      </c>
      <c r="P58" t="s">
        <v>74</v>
      </c>
      <c r="Q58" t="s">
        <v>74</v>
      </c>
      <c r="R58" t="s">
        <v>74</v>
      </c>
      <c r="S58" t="s">
        <v>74</v>
      </c>
      <c r="T58" t="s">
        <v>74</v>
      </c>
      <c r="U58" t="s">
        <v>958</v>
      </c>
      <c r="V58" t="s">
        <v>959</v>
      </c>
      <c r="W58" t="s">
        <v>960</v>
      </c>
      <c r="X58" t="s">
        <v>961</v>
      </c>
      <c r="Y58" t="s">
        <v>962</v>
      </c>
      <c r="Z58" t="s">
        <v>74</v>
      </c>
      <c r="AA58" t="s">
        <v>74</v>
      </c>
      <c r="AB58" t="s">
        <v>963</v>
      </c>
      <c r="AC58" t="s">
        <v>74</v>
      </c>
      <c r="AD58" t="s">
        <v>74</v>
      </c>
      <c r="AE58" t="s">
        <v>74</v>
      </c>
      <c r="AF58" t="s">
        <v>74</v>
      </c>
      <c r="AG58">
        <v>14</v>
      </c>
      <c r="AH58">
        <v>9</v>
      </c>
      <c r="AI58">
        <v>9</v>
      </c>
      <c r="AJ58">
        <v>0</v>
      </c>
      <c r="AK58">
        <v>0</v>
      </c>
      <c r="AL58" t="s">
        <v>964</v>
      </c>
      <c r="AM58" t="s">
        <v>965</v>
      </c>
      <c r="AN58" t="s">
        <v>966</v>
      </c>
      <c r="AO58" t="s">
        <v>967</v>
      </c>
      <c r="AP58" t="s">
        <v>74</v>
      </c>
      <c r="AQ58" t="s">
        <v>74</v>
      </c>
      <c r="AR58" t="s">
        <v>968</v>
      </c>
      <c r="AS58" t="s">
        <v>969</v>
      </c>
      <c r="AT58" t="s">
        <v>219</v>
      </c>
      <c r="AU58">
        <v>1998</v>
      </c>
      <c r="AV58">
        <v>110</v>
      </c>
      <c r="AW58">
        <v>745</v>
      </c>
      <c r="AX58" t="s">
        <v>74</v>
      </c>
      <c r="AY58" t="s">
        <v>74</v>
      </c>
      <c r="AZ58" t="s">
        <v>74</v>
      </c>
      <c r="BA58" t="s">
        <v>74</v>
      </c>
      <c r="BB58">
        <v>306</v>
      </c>
      <c r="BC58">
        <v>316</v>
      </c>
      <c r="BD58" t="s">
        <v>74</v>
      </c>
      <c r="BE58" t="s">
        <v>970</v>
      </c>
      <c r="BF58" t="str">
        <f>HYPERLINK("http://dx.doi.org/10.1086/316136","http://dx.doi.org/10.1086/316136")</f>
        <v>http://dx.doi.org/10.1086/316136</v>
      </c>
      <c r="BG58" t="s">
        <v>74</v>
      </c>
      <c r="BH58" t="s">
        <v>74</v>
      </c>
      <c r="BI58">
        <v>11</v>
      </c>
      <c r="BJ58" t="s">
        <v>971</v>
      </c>
      <c r="BK58" t="s">
        <v>98</v>
      </c>
      <c r="BL58" t="s">
        <v>971</v>
      </c>
      <c r="BM58" t="s">
        <v>972</v>
      </c>
      <c r="BN58" t="s">
        <v>74</v>
      </c>
      <c r="BO58" t="s">
        <v>74</v>
      </c>
      <c r="BP58" t="s">
        <v>74</v>
      </c>
      <c r="BQ58" t="s">
        <v>74</v>
      </c>
      <c r="BR58" t="s">
        <v>101</v>
      </c>
      <c r="BS58" t="s">
        <v>973</v>
      </c>
      <c r="BT58" t="str">
        <f>HYPERLINK("https%3A%2F%2Fwww.webofscience.com%2Fwos%2Fwoscc%2Ffull-record%2FWOS:000072940500009","View Full Record in Web of Science")</f>
        <v>View Full Record in Web of Science</v>
      </c>
    </row>
    <row r="59" spans="1:72" x14ac:dyDescent="0.15">
      <c r="A59" t="s">
        <v>72</v>
      </c>
      <c r="B59" t="s">
        <v>974</v>
      </c>
      <c r="C59" t="s">
        <v>74</v>
      </c>
      <c r="D59" t="s">
        <v>74</v>
      </c>
      <c r="E59" t="s">
        <v>74</v>
      </c>
      <c r="F59" t="s">
        <v>974</v>
      </c>
      <c r="G59" t="s">
        <v>74</v>
      </c>
      <c r="H59" t="s">
        <v>74</v>
      </c>
      <c r="I59" t="s">
        <v>975</v>
      </c>
      <c r="J59" t="s">
        <v>976</v>
      </c>
      <c r="K59" t="s">
        <v>74</v>
      </c>
      <c r="L59" t="s">
        <v>74</v>
      </c>
      <c r="M59" t="s">
        <v>77</v>
      </c>
      <c r="N59" t="s">
        <v>78</v>
      </c>
      <c r="O59" t="s">
        <v>74</v>
      </c>
      <c r="P59" t="s">
        <v>74</v>
      </c>
      <c r="Q59" t="s">
        <v>74</v>
      </c>
      <c r="R59" t="s">
        <v>74</v>
      </c>
      <c r="S59" t="s">
        <v>74</v>
      </c>
      <c r="T59" t="s">
        <v>74</v>
      </c>
      <c r="U59" t="s">
        <v>977</v>
      </c>
      <c r="V59" t="s">
        <v>978</v>
      </c>
      <c r="W59" t="s">
        <v>301</v>
      </c>
      <c r="X59" t="s">
        <v>302</v>
      </c>
      <c r="Y59" t="s">
        <v>979</v>
      </c>
      <c r="Z59" t="s">
        <v>980</v>
      </c>
      <c r="AA59" t="s">
        <v>981</v>
      </c>
      <c r="AB59" t="s">
        <v>982</v>
      </c>
      <c r="AC59" t="s">
        <v>74</v>
      </c>
      <c r="AD59" t="s">
        <v>74</v>
      </c>
      <c r="AE59" t="s">
        <v>74</v>
      </c>
      <c r="AF59" t="s">
        <v>74</v>
      </c>
      <c r="AG59">
        <v>38</v>
      </c>
      <c r="AH59">
        <v>9</v>
      </c>
      <c r="AI59">
        <v>9</v>
      </c>
      <c r="AJ59">
        <v>0</v>
      </c>
      <c r="AK59">
        <v>2</v>
      </c>
      <c r="AL59" t="s">
        <v>983</v>
      </c>
      <c r="AM59" t="s">
        <v>984</v>
      </c>
      <c r="AN59" t="s">
        <v>985</v>
      </c>
      <c r="AO59" t="s">
        <v>986</v>
      </c>
      <c r="AP59" t="s">
        <v>987</v>
      </c>
      <c r="AQ59" t="s">
        <v>74</v>
      </c>
      <c r="AR59" t="s">
        <v>988</v>
      </c>
      <c r="AS59" t="s">
        <v>989</v>
      </c>
      <c r="AT59" t="s">
        <v>219</v>
      </c>
      <c r="AU59">
        <v>1998</v>
      </c>
      <c r="AV59">
        <v>94</v>
      </c>
      <c r="AW59">
        <v>3</v>
      </c>
      <c r="AX59" t="s">
        <v>74</v>
      </c>
      <c r="AY59" t="s">
        <v>74</v>
      </c>
      <c r="AZ59" t="s">
        <v>74</v>
      </c>
      <c r="BA59" t="s">
        <v>74</v>
      </c>
      <c r="BB59">
        <v>124</v>
      </c>
      <c r="BC59">
        <v>129</v>
      </c>
      <c r="BD59" t="s">
        <v>74</v>
      </c>
      <c r="BE59" t="s">
        <v>74</v>
      </c>
      <c r="BF59" t="s">
        <v>74</v>
      </c>
      <c r="BG59" t="s">
        <v>74</v>
      </c>
      <c r="BH59" t="s">
        <v>74</v>
      </c>
      <c r="BI59">
        <v>6</v>
      </c>
      <c r="BJ59" t="s">
        <v>186</v>
      </c>
      <c r="BK59" t="s">
        <v>98</v>
      </c>
      <c r="BL59" t="s">
        <v>187</v>
      </c>
      <c r="BM59" t="s">
        <v>990</v>
      </c>
      <c r="BN59" t="s">
        <v>74</v>
      </c>
      <c r="BO59" t="s">
        <v>74</v>
      </c>
      <c r="BP59" t="s">
        <v>74</v>
      </c>
      <c r="BQ59" t="s">
        <v>74</v>
      </c>
      <c r="BR59" t="s">
        <v>101</v>
      </c>
      <c r="BS59" t="s">
        <v>991</v>
      </c>
      <c r="BT59" t="str">
        <f>HYPERLINK("https%3A%2F%2Fwww.webofscience.com%2Fwos%2Fwoscc%2Ffull-record%2FWOS:000073863600007","View Full Record in Web of Science")</f>
        <v>View Full Record in Web of Science</v>
      </c>
    </row>
    <row r="60" spans="1:72" x14ac:dyDescent="0.15">
      <c r="A60" t="s">
        <v>72</v>
      </c>
      <c r="B60" t="s">
        <v>992</v>
      </c>
      <c r="C60" t="s">
        <v>74</v>
      </c>
      <c r="D60" t="s">
        <v>74</v>
      </c>
      <c r="E60" t="s">
        <v>74</v>
      </c>
      <c r="F60" t="s">
        <v>992</v>
      </c>
      <c r="G60" t="s">
        <v>74</v>
      </c>
      <c r="H60" t="s">
        <v>74</v>
      </c>
      <c r="I60" t="s">
        <v>993</v>
      </c>
      <c r="J60" t="s">
        <v>994</v>
      </c>
      <c r="K60" t="s">
        <v>74</v>
      </c>
      <c r="L60" t="s">
        <v>74</v>
      </c>
      <c r="M60" t="s">
        <v>77</v>
      </c>
      <c r="N60" t="s">
        <v>78</v>
      </c>
      <c r="O60" t="s">
        <v>74</v>
      </c>
      <c r="P60" t="s">
        <v>74</v>
      </c>
      <c r="Q60" t="s">
        <v>74</v>
      </c>
      <c r="R60" t="s">
        <v>74</v>
      </c>
      <c r="S60" t="s">
        <v>74</v>
      </c>
      <c r="T60" t="s">
        <v>74</v>
      </c>
      <c r="U60" t="s">
        <v>995</v>
      </c>
      <c r="V60" t="s">
        <v>996</v>
      </c>
      <c r="W60" t="s">
        <v>997</v>
      </c>
      <c r="X60" t="s">
        <v>998</v>
      </c>
      <c r="Y60" t="s">
        <v>999</v>
      </c>
      <c r="Z60" t="s">
        <v>1000</v>
      </c>
      <c r="AA60" t="s">
        <v>74</v>
      </c>
      <c r="AB60" t="s">
        <v>74</v>
      </c>
      <c r="AC60" t="s">
        <v>74</v>
      </c>
      <c r="AD60" t="s">
        <v>74</v>
      </c>
      <c r="AE60" t="s">
        <v>74</v>
      </c>
      <c r="AF60" t="s">
        <v>74</v>
      </c>
      <c r="AG60">
        <v>65</v>
      </c>
      <c r="AH60">
        <v>36</v>
      </c>
      <c r="AI60">
        <v>38</v>
      </c>
      <c r="AJ60">
        <v>0</v>
      </c>
      <c r="AK60">
        <v>8</v>
      </c>
      <c r="AL60" t="s">
        <v>87</v>
      </c>
      <c r="AM60" t="s">
        <v>88</v>
      </c>
      <c r="AN60" t="s">
        <v>89</v>
      </c>
      <c r="AO60" t="s">
        <v>1001</v>
      </c>
      <c r="AP60" t="s">
        <v>74</v>
      </c>
      <c r="AQ60" t="s">
        <v>74</v>
      </c>
      <c r="AR60" t="s">
        <v>1002</v>
      </c>
      <c r="AS60" t="s">
        <v>1003</v>
      </c>
      <c r="AT60" t="s">
        <v>1004</v>
      </c>
      <c r="AU60">
        <v>1998</v>
      </c>
      <c r="AV60">
        <v>103</v>
      </c>
      <c r="AW60" t="s">
        <v>1005</v>
      </c>
      <c r="AX60" t="s">
        <v>74</v>
      </c>
      <c r="AY60" t="s">
        <v>74</v>
      </c>
      <c r="AZ60" t="s">
        <v>74</v>
      </c>
      <c r="BA60" t="s">
        <v>74</v>
      </c>
      <c r="BB60">
        <v>3825</v>
      </c>
      <c r="BC60">
        <v>3846</v>
      </c>
      <c r="BD60" t="s">
        <v>74</v>
      </c>
      <c r="BE60" t="s">
        <v>1006</v>
      </c>
      <c r="BF60" t="str">
        <f>HYPERLINK("http://dx.doi.org/10.1029/97JD02433","http://dx.doi.org/10.1029/97JD02433")</f>
        <v>http://dx.doi.org/10.1029/97JD02433</v>
      </c>
      <c r="BG60" t="s">
        <v>74</v>
      </c>
      <c r="BH60" t="s">
        <v>74</v>
      </c>
      <c r="BI60">
        <v>22</v>
      </c>
      <c r="BJ60" t="s">
        <v>635</v>
      </c>
      <c r="BK60" t="s">
        <v>98</v>
      </c>
      <c r="BL60" t="s">
        <v>635</v>
      </c>
      <c r="BM60" t="s">
        <v>1007</v>
      </c>
      <c r="BN60" t="s">
        <v>74</v>
      </c>
      <c r="BO60" t="s">
        <v>74</v>
      </c>
      <c r="BP60" t="s">
        <v>74</v>
      </c>
      <c r="BQ60" t="s">
        <v>74</v>
      </c>
      <c r="BR60" t="s">
        <v>101</v>
      </c>
      <c r="BS60" t="s">
        <v>1008</v>
      </c>
      <c r="BT60" t="str">
        <f>HYPERLINK("https%3A%2F%2Fwww.webofscience.com%2Fwos%2Fwoscc%2Ffull-record%2FWOS:000072258400008","View Full Record in Web of Science")</f>
        <v>View Full Record in Web of Science</v>
      </c>
    </row>
    <row r="61" spans="1:72" x14ac:dyDescent="0.15">
      <c r="A61" t="s">
        <v>72</v>
      </c>
      <c r="B61" t="s">
        <v>1009</v>
      </c>
      <c r="C61" t="s">
        <v>74</v>
      </c>
      <c r="D61" t="s">
        <v>74</v>
      </c>
      <c r="E61" t="s">
        <v>74</v>
      </c>
      <c r="F61" t="s">
        <v>1009</v>
      </c>
      <c r="G61" t="s">
        <v>74</v>
      </c>
      <c r="H61" t="s">
        <v>74</v>
      </c>
      <c r="I61" t="s">
        <v>1010</v>
      </c>
      <c r="J61" t="s">
        <v>170</v>
      </c>
      <c r="K61" t="s">
        <v>74</v>
      </c>
      <c r="L61" t="s">
        <v>74</v>
      </c>
      <c r="M61" t="s">
        <v>77</v>
      </c>
      <c r="N61" t="s">
        <v>78</v>
      </c>
      <c r="O61" t="s">
        <v>74</v>
      </c>
      <c r="P61" t="s">
        <v>74</v>
      </c>
      <c r="Q61" t="s">
        <v>74</v>
      </c>
      <c r="R61" t="s">
        <v>74</v>
      </c>
      <c r="S61" t="s">
        <v>74</v>
      </c>
      <c r="T61" t="s">
        <v>74</v>
      </c>
      <c r="U61" t="s">
        <v>1011</v>
      </c>
      <c r="V61" t="s">
        <v>1012</v>
      </c>
      <c r="W61" t="s">
        <v>1013</v>
      </c>
      <c r="X61" t="s">
        <v>1014</v>
      </c>
      <c r="Y61" t="s">
        <v>1015</v>
      </c>
      <c r="Z61" t="s">
        <v>74</v>
      </c>
      <c r="AA61" t="s">
        <v>1016</v>
      </c>
      <c r="AB61" t="s">
        <v>1017</v>
      </c>
      <c r="AC61" t="s">
        <v>74</v>
      </c>
      <c r="AD61" t="s">
        <v>74</v>
      </c>
      <c r="AE61" t="s">
        <v>74</v>
      </c>
      <c r="AF61" t="s">
        <v>74</v>
      </c>
      <c r="AG61">
        <v>31</v>
      </c>
      <c r="AH61">
        <v>95</v>
      </c>
      <c r="AI61">
        <v>102</v>
      </c>
      <c r="AJ61">
        <v>0</v>
      </c>
      <c r="AK61">
        <v>12</v>
      </c>
      <c r="AL61" t="s">
        <v>179</v>
      </c>
      <c r="AM61" t="s">
        <v>88</v>
      </c>
      <c r="AN61" t="s">
        <v>180</v>
      </c>
      <c r="AO61" t="s">
        <v>181</v>
      </c>
      <c r="AP61" t="s">
        <v>74</v>
      </c>
      <c r="AQ61" t="s">
        <v>74</v>
      </c>
      <c r="AR61" t="s">
        <v>170</v>
      </c>
      <c r="AS61" t="s">
        <v>183</v>
      </c>
      <c r="AT61" t="s">
        <v>1004</v>
      </c>
      <c r="AU61">
        <v>1998</v>
      </c>
      <c r="AV61">
        <v>279</v>
      </c>
      <c r="AW61">
        <v>5355</v>
      </c>
      <c r="AX61" t="s">
        <v>74</v>
      </c>
      <c r="AY61" t="s">
        <v>74</v>
      </c>
      <c r="AZ61" t="s">
        <v>74</v>
      </c>
      <c r="BA61" t="s">
        <v>74</v>
      </c>
      <c r="BB61">
        <v>1330</v>
      </c>
      <c r="BC61">
        <v>1332</v>
      </c>
      <c r="BD61" t="s">
        <v>74</v>
      </c>
      <c r="BE61" t="s">
        <v>1018</v>
      </c>
      <c r="BF61" t="str">
        <f>HYPERLINK("http://dx.doi.org/10.1126/science.279.5355.1330","http://dx.doi.org/10.1126/science.279.5355.1330")</f>
        <v>http://dx.doi.org/10.1126/science.279.5355.1330</v>
      </c>
      <c r="BG61" t="s">
        <v>74</v>
      </c>
      <c r="BH61" t="s">
        <v>74</v>
      </c>
      <c r="BI61">
        <v>3</v>
      </c>
      <c r="BJ61" t="s">
        <v>186</v>
      </c>
      <c r="BK61" t="s">
        <v>98</v>
      </c>
      <c r="BL61" t="s">
        <v>187</v>
      </c>
      <c r="BM61" t="s">
        <v>1019</v>
      </c>
      <c r="BN61">
        <v>9478888</v>
      </c>
      <c r="BO61" t="s">
        <v>74</v>
      </c>
      <c r="BP61" t="s">
        <v>74</v>
      </c>
      <c r="BQ61" t="s">
        <v>74</v>
      </c>
      <c r="BR61" t="s">
        <v>101</v>
      </c>
      <c r="BS61" t="s">
        <v>1020</v>
      </c>
      <c r="BT61" t="str">
        <f>HYPERLINK("https%3A%2F%2Fwww.webofscience.com%2Fwos%2Fwoscc%2Ffull-record%2FWOS:000072251800043","View Full Record in Web of Science")</f>
        <v>View Full Record in Web of Science</v>
      </c>
    </row>
    <row r="62" spans="1:72" x14ac:dyDescent="0.15">
      <c r="A62" t="s">
        <v>72</v>
      </c>
      <c r="B62" t="s">
        <v>1021</v>
      </c>
      <c r="C62" t="s">
        <v>74</v>
      </c>
      <c r="D62" t="s">
        <v>74</v>
      </c>
      <c r="E62" t="s">
        <v>74</v>
      </c>
      <c r="F62" t="s">
        <v>1021</v>
      </c>
      <c r="G62" t="s">
        <v>74</v>
      </c>
      <c r="H62" t="s">
        <v>74</v>
      </c>
      <c r="I62" t="s">
        <v>1022</v>
      </c>
      <c r="J62" t="s">
        <v>1023</v>
      </c>
      <c r="K62" t="s">
        <v>74</v>
      </c>
      <c r="L62" t="s">
        <v>74</v>
      </c>
      <c r="M62" t="s">
        <v>77</v>
      </c>
      <c r="N62" t="s">
        <v>78</v>
      </c>
      <c r="O62" t="s">
        <v>74</v>
      </c>
      <c r="P62" t="s">
        <v>74</v>
      </c>
      <c r="Q62" t="s">
        <v>74</v>
      </c>
      <c r="R62" t="s">
        <v>74</v>
      </c>
      <c r="S62" t="s">
        <v>74</v>
      </c>
      <c r="T62" t="s">
        <v>74</v>
      </c>
      <c r="U62" t="s">
        <v>1024</v>
      </c>
      <c r="V62" t="s">
        <v>1025</v>
      </c>
      <c r="W62" t="s">
        <v>1026</v>
      </c>
      <c r="X62" t="s">
        <v>1027</v>
      </c>
      <c r="Y62" t="s">
        <v>1028</v>
      </c>
      <c r="Z62" t="s">
        <v>74</v>
      </c>
      <c r="AA62" t="s">
        <v>74</v>
      </c>
      <c r="AB62" t="s">
        <v>74</v>
      </c>
      <c r="AC62" t="s">
        <v>74</v>
      </c>
      <c r="AD62" t="s">
        <v>74</v>
      </c>
      <c r="AE62" t="s">
        <v>74</v>
      </c>
      <c r="AF62" t="s">
        <v>74</v>
      </c>
      <c r="AG62">
        <v>22</v>
      </c>
      <c r="AH62">
        <v>15</v>
      </c>
      <c r="AI62">
        <v>15</v>
      </c>
      <c r="AJ62">
        <v>2</v>
      </c>
      <c r="AK62">
        <v>2</v>
      </c>
      <c r="AL62" t="s">
        <v>1029</v>
      </c>
      <c r="AM62" t="s">
        <v>1030</v>
      </c>
      <c r="AN62" t="s">
        <v>1031</v>
      </c>
      <c r="AO62" t="s">
        <v>1032</v>
      </c>
      <c r="AP62" t="s">
        <v>74</v>
      </c>
      <c r="AQ62" t="s">
        <v>74</v>
      </c>
      <c r="AR62" t="s">
        <v>1033</v>
      </c>
      <c r="AS62" t="s">
        <v>1034</v>
      </c>
      <c r="AT62" t="s">
        <v>1035</v>
      </c>
      <c r="AU62">
        <v>1998</v>
      </c>
      <c r="AV62">
        <v>144</v>
      </c>
      <c r="AW62" t="s">
        <v>694</v>
      </c>
      <c r="AX62" t="s">
        <v>74</v>
      </c>
      <c r="AY62" t="s">
        <v>74</v>
      </c>
      <c r="AZ62" t="s">
        <v>74</v>
      </c>
      <c r="BA62" t="s">
        <v>74</v>
      </c>
      <c r="BB62">
        <v>331</v>
      </c>
      <c r="BC62">
        <v>334</v>
      </c>
      <c r="BD62" t="s">
        <v>74</v>
      </c>
      <c r="BE62" t="s">
        <v>1036</v>
      </c>
      <c r="BF62" t="str">
        <f>HYPERLINK("http://dx.doi.org/10.1016/S0009-2541(97)00137-X","http://dx.doi.org/10.1016/S0009-2541(97)00137-X")</f>
        <v>http://dx.doi.org/10.1016/S0009-2541(97)00137-X</v>
      </c>
      <c r="BG62" t="s">
        <v>74</v>
      </c>
      <c r="BH62" t="s">
        <v>74</v>
      </c>
      <c r="BI62">
        <v>4</v>
      </c>
      <c r="BJ62" t="s">
        <v>143</v>
      </c>
      <c r="BK62" t="s">
        <v>98</v>
      </c>
      <c r="BL62" t="s">
        <v>143</v>
      </c>
      <c r="BM62" t="s">
        <v>1037</v>
      </c>
      <c r="BN62" t="s">
        <v>74</v>
      </c>
      <c r="BO62" t="s">
        <v>74</v>
      </c>
      <c r="BP62" t="s">
        <v>74</v>
      </c>
      <c r="BQ62" t="s">
        <v>74</v>
      </c>
      <c r="BR62" t="s">
        <v>101</v>
      </c>
      <c r="BS62" t="s">
        <v>1038</v>
      </c>
      <c r="BT62" t="str">
        <f>HYPERLINK("https%3A%2F%2Fwww.webofscience.com%2Fwos%2Fwoscc%2Ffull-record%2FWOS:000073276900012","View Full Record in Web of Science")</f>
        <v>View Full Record in Web of Science</v>
      </c>
    </row>
    <row r="63" spans="1:72" x14ac:dyDescent="0.15">
      <c r="A63" t="s">
        <v>72</v>
      </c>
      <c r="B63" t="s">
        <v>1039</v>
      </c>
      <c r="C63" t="s">
        <v>74</v>
      </c>
      <c r="D63" t="s">
        <v>74</v>
      </c>
      <c r="E63" t="s">
        <v>74</v>
      </c>
      <c r="F63" t="s">
        <v>1039</v>
      </c>
      <c r="G63" t="s">
        <v>74</v>
      </c>
      <c r="H63" t="s">
        <v>74</v>
      </c>
      <c r="I63" t="s">
        <v>1040</v>
      </c>
      <c r="J63" t="s">
        <v>1041</v>
      </c>
      <c r="K63" t="s">
        <v>74</v>
      </c>
      <c r="L63" t="s">
        <v>74</v>
      </c>
      <c r="M63" t="s">
        <v>77</v>
      </c>
      <c r="N63" t="s">
        <v>78</v>
      </c>
      <c r="O63" t="s">
        <v>74</v>
      </c>
      <c r="P63" t="s">
        <v>74</v>
      </c>
      <c r="Q63" t="s">
        <v>74</v>
      </c>
      <c r="R63" t="s">
        <v>74</v>
      </c>
      <c r="S63" t="s">
        <v>74</v>
      </c>
      <c r="T63" t="s">
        <v>74</v>
      </c>
      <c r="U63" t="s">
        <v>1042</v>
      </c>
      <c r="V63" t="s">
        <v>1043</v>
      </c>
      <c r="W63" t="s">
        <v>1044</v>
      </c>
      <c r="X63" t="s">
        <v>1045</v>
      </c>
      <c r="Y63" t="s">
        <v>1046</v>
      </c>
      <c r="Z63" t="s">
        <v>74</v>
      </c>
      <c r="AA63" t="s">
        <v>1047</v>
      </c>
      <c r="AB63" t="s">
        <v>74</v>
      </c>
      <c r="AC63" t="s">
        <v>74</v>
      </c>
      <c r="AD63" t="s">
        <v>74</v>
      </c>
      <c r="AE63" t="s">
        <v>74</v>
      </c>
      <c r="AF63" t="s">
        <v>74</v>
      </c>
      <c r="AG63">
        <v>62</v>
      </c>
      <c r="AH63">
        <v>51</v>
      </c>
      <c r="AI63">
        <v>52</v>
      </c>
      <c r="AJ63">
        <v>0</v>
      </c>
      <c r="AK63">
        <v>6</v>
      </c>
      <c r="AL63" t="s">
        <v>707</v>
      </c>
      <c r="AM63" t="s">
        <v>88</v>
      </c>
      <c r="AN63" t="s">
        <v>708</v>
      </c>
      <c r="AO63" t="s">
        <v>1048</v>
      </c>
      <c r="AP63" t="s">
        <v>74</v>
      </c>
      <c r="AQ63" t="s">
        <v>74</v>
      </c>
      <c r="AR63" t="s">
        <v>1049</v>
      </c>
      <c r="AS63" t="s">
        <v>1050</v>
      </c>
      <c r="AT63" t="s">
        <v>1035</v>
      </c>
      <c r="AU63">
        <v>1998</v>
      </c>
      <c r="AV63">
        <v>102</v>
      </c>
      <c r="AW63">
        <v>9</v>
      </c>
      <c r="AX63" t="s">
        <v>74</v>
      </c>
      <c r="AY63" t="s">
        <v>74</v>
      </c>
      <c r="AZ63" t="s">
        <v>74</v>
      </c>
      <c r="BA63" t="s">
        <v>74</v>
      </c>
      <c r="BB63">
        <v>1514</v>
      </c>
      <c r="BC63">
        <v>1522</v>
      </c>
      <c r="BD63" t="s">
        <v>74</v>
      </c>
      <c r="BE63" t="s">
        <v>1051</v>
      </c>
      <c r="BF63" t="str">
        <f>HYPERLINK("http://dx.doi.org/10.1021/jp972515r","http://dx.doi.org/10.1021/jp972515r")</f>
        <v>http://dx.doi.org/10.1021/jp972515r</v>
      </c>
      <c r="BG63" t="s">
        <v>74</v>
      </c>
      <c r="BH63" t="s">
        <v>74</v>
      </c>
      <c r="BI63">
        <v>9</v>
      </c>
      <c r="BJ63" t="s">
        <v>1052</v>
      </c>
      <c r="BK63" t="s">
        <v>98</v>
      </c>
      <c r="BL63" t="s">
        <v>1053</v>
      </c>
      <c r="BM63" t="s">
        <v>1054</v>
      </c>
      <c r="BN63" t="s">
        <v>74</v>
      </c>
      <c r="BO63" t="s">
        <v>74</v>
      </c>
      <c r="BP63" t="s">
        <v>74</v>
      </c>
      <c r="BQ63" t="s">
        <v>74</v>
      </c>
      <c r="BR63" t="s">
        <v>101</v>
      </c>
      <c r="BS63" t="s">
        <v>1055</v>
      </c>
      <c r="BT63" t="str">
        <f>HYPERLINK("https%3A%2F%2Fwww.webofscience.com%2Fwos%2Fwoscc%2Ffull-record%2FWOS:000072305400011","View Full Record in Web of Science")</f>
        <v>View Full Record in Web of Science</v>
      </c>
    </row>
    <row r="64" spans="1:72" x14ac:dyDescent="0.15">
      <c r="A64" t="s">
        <v>72</v>
      </c>
      <c r="B64" t="s">
        <v>1056</v>
      </c>
      <c r="C64" t="s">
        <v>74</v>
      </c>
      <c r="D64" t="s">
        <v>74</v>
      </c>
      <c r="E64" t="s">
        <v>74</v>
      </c>
      <c r="F64" t="s">
        <v>1056</v>
      </c>
      <c r="G64" t="s">
        <v>74</v>
      </c>
      <c r="H64" t="s">
        <v>74</v>
      </c>
      <c r="I64" t="s">
        <v>1057</v>
      </c>
      <c r="J64" t="s">
        <v>192</v>
      </c>
      <c r="K64" t="s">
        <v>74</v>
      </c>
      <c r="L64" t="s">
        <v>74</v>
      </c>
      <c r="M64" t="s">
        <v>77</v>
      </c>
      <c r="N64" t="s">
        <v>78</v>
      </c>
      <c r="O64" t="s">
        <v>74</v>
      </c>
      <c r="P64" t="s">
        <v>74</v>
      </c>
      <c r="Q64" t="s">
        <v>74</v>
      </c>
      <c r="R64" t="s">
        <v>74</v>
      </c>
      <c r="S64" t="s">
        <v>74</v>
      </c>
      <c r="T64" t="s">
        <v>74</v>
      </c>
      <c r="U64" t="s">
        <v>1058</v>
      </c>
      <c r="V64" t="s">
        <v>1059</v>
      </c>
      <c r="W64" t="s">
        <v>1060</v>
      </c>
      <c r="X64" t="s">
        <v>1061</v>
      </c>
      <c r="Y64" t="s">
        <v>1062</v>
      </c>
      <c r="Z64" t="s">
        <v>74</v>
      </c>
      <c r="AA64" t="s">
        <v>1063</v>
      </c>
      <c r="AB64" t="s">
        <v>1064</v>
      </c>
      <c r="AC64" t="s">
        <v>74</v>
      </c>
      <c r="AD64" t="s">
        <v>74</v>
      </c>
      <c r="AE64" t="s">
        <v>74</v>
      </c>
      <c r="AF64" t="s">
        <v>74</v>
      </c>
      <c r="AG64">
        <v>20</v>
      </c>
      <c r="AH64">
        <v>144</v>
      </c>
      <c r="AI64">
        <v>162</v>
      </c>
      <c r="AJ64">
        <v>1</v>
      </c>
      <c r="AK64">
        <v>27</v>
      </c>
      <c r="AL64" t="s">
        <v>1065</v>
      </c>
      <c r="AM64" t="s">
        <v>201</v>
      </c>
      <c r="AN64" t="s">
        <v>1066</v>
      </c>
      <c r="AO64" t="s">
        <v>203</v>
      </c>
      <c r="AP64" t="s">
        <v>1067</v>
      </c>
      <c r="AQ64" t="s">
        <v>74</v>
      </c>
      <c r="AR64" t="s">
        <v>192</v>
      </c>
      <c r="AS64" t="s">
        <v>204</v>
      </c>
      <c r="AT64" t="s">
        <v>1068</v>
      </c>
      <c r="AU64">
        <v>1998</v>
      </c>
      <c r="AV64">
        <v>391</v>
      </c>
      <c r="AW64">
        <v>6669</v>
      </c>
      <c r="AX64" t="s">
        <v>74</v>
      </c>
      <c r="AY64" t="s">
        <v>74</v>
      </c>
      <c r="AZ64" t="s">
        <v>74</v>
      </c>
      <c r="BA64" t="s">
        <v>74</v>
      </c>
      <c r="BB64">
        <v>778</v>
      </c>
      <c r="BC64">
        <v>780</v>
      </c>
      <c r="BD64" t="s">
        <v>74</v>
      </c>
      <c r="BE64" t="s">
        <v>1069</v>
      </c>
      <c r="BF64" t="str">
        <f>HYPERLINK("http://dx.doi.org/10.1038/35832","http://dx.doi.org/10.1038/35832")</f>
        <v>http://dx.doi.org/10.1038/35832</v>
      </c>
      <c r="BG64" t="s">
        <v>74</v>
      </c>
      <c r="BH64" t="s">
        <v>74</v>
      </c>
      <c r="BI64">
        <v>3</v>
      </c>
      <c r="BJ64" t="s">
        <v>186</v>
      </c>
      <c r="BK64" t="s">
        <v>98</v>
      </c>
      <c r="BL64" t="s">
        <v>187</v>
      </c>
      <c r="BM64" t="s">
        <v>1070</v>
      </c>
      <c r="BN64" t="s">
        <v>74</v>
      </c>
      <c r="BO64" t="s">
        <v>74</v>
      </c>
      <c r="BP64" t="s">
        <v>74</v>
      </c>
      <c r="BQ64" t="s">
        <v>74</v>
      </c>
      <c r="BR64" t="s">
        <v>101</v>
      </c>
      <c r="BS64" t="s">
        <v>1071</v>
      </c>
      <c r="BT64" t="str">
        <f>HYPERLINK("https%3A%2F%2Fwww.webofscience.com%2Fwos%2Fwoscc%2Ffull-record%2FWOS:000072089500048","View Full Record in Web of Science")</f>
        <v>View Full Record in Web of Science</v>
      </c>
    </row>
    <row r="65" spans="1:72" x14ac:dyDescent="0.15">
      <c r="A65" t="s">
        <v>72</v>
      </c>
      <c r="B65" t="s">
        <v>1072</v>
      </c>
      <c r="C65" t="s">
        <v>74</v>
      </c>
      <c r="D65" t="s">
        <v>74</v>
      </c>
      <c r="E65" t="s">
        <v>74</v>
      </c>
      <c r="F65" t="s">
        <v>1072</v>
      </c>
      <c r="G65" t="s">
        <v>74</v>
      </c>
      <c r="H65" t="s">
        <v>74</v>
      </c>
      <c r="I65" t="s">
        <v>1073</v>
      </c>
      <c r="J65" t="s">
        <v>1074</v>
      </c>
      <c r="K65" t="s">
        <v>74</v>
      </c>
      <c r="L65" t="s">
        <v>74</v>
      </c>
      <c r="M65" t="s">
        <v>77</v>
      </c>
      <c r="N65" t="s">
        <v>494</v>
      </c>
      <c r="O65" t="s">
        <v>74</v>
      </c>
      <c r="P65" t="s">
        <v>74</v>
      </c>
      <c r="Q65" t="s">
        <v>74</v>
      </c>
      <c r="R65" t="s">
        <v>74</v>
      </c>
      <c r="S65" t="s">
        <v>74</v>
      </c>
      <c r="T65" t="s">
        <v>1075</v>
      </c>
      <c r="U65" t="s">
        <v>1076</v>
      </c>
      <c r="V65" t="s">
        <v>1077</v>
      </c>
      <c r="W65" t="s">
        <v>1078</v>
      </c>
      <c r="X65" t="s">
        <v>1079</v>
      </c>
      <c r="Y65" t="s">
        <v>1080</v>
      </c>
      <c r="Z65" t="s">
        <v>74</v>
      </c>
      <c r="AA65" t="s">
        <v>74</v>
      </c>
      <c r="AB65" t="s">
        <v>74</v>
      </c>
      <c r="AC65" t="s">
        <v>74</v>
      </c>
      <c r="AD65" t="s">
        <v>74</v>
      </c>
      <c r="AE65" t="s">
        <v>74</v>
      </c>
      <c r="AF65" t="s">
        <v>74</v>
      </c>
      <c r="AG65">
        <v>117</v>
      </c>
      <c r="AH65">
        <v>30</v>
      </c>
      <c r="AI65">
        <v>32</v>
      </c>
      <c r="AJ65">
        <v>0</v>
      </c>
      <c r="AK65">
        <v>3</v>
      </c>
      <c r="AL65" t="s">
        <v>1081</v>
      </c>
      <c r="AM65" t="s">
        <v>1082</v>
      </c>
      <c r="AN65" t="s">
        <v>1083</v>
      </c>
      <c r="AO65" t="s">
        <v>1084</v>
      </c>
      <c r="AP65" t="s">
        <v>74</v>
      </c>
      <c r="AQ65" t="s">
        <v>74</v>
      </c>
      <c r="AR65" t="s">
        <v>1074</v>
      </c>
      <c r="AS65" t="s">
        <v>1085</v>
      </c>
      <c r="AT65" t="s">
        <v>1086</v>
      </c>
      <c r="AU65">
        <v>1998</v>
      </c>
      <c r="AV65">
        <v>111</v>
      </c>
      <c r="AW65">
        <v>2</v>
      </c>
      <c r="AX65" t="s">
        <v>74</v>
      </c>
      <c r="AY65" t="s">
        <v>74</v>
      </c>
      <c r="AZ65" t="s">
        <v>74</v>
      </c>
      <c r="BA65" t="s">
        <v>74</v>
      </c>
      <c r="BB65">
        <v>53</v>
      </c>
      <c r="BC65">
        <v>84</v>
      </c>
      <c r="BD65" t="s">
        <v>74</v>
      </c>
      <c r="BE65" t="s">
        <v>74</v>
      </c>
      <c r="BF65" t="s">
        <v>74</v>
      </c>
      <c r="BG65" t="s">
        <v>74</v>
      </c>
      <c r="BH65" t="s">
        <v>74</v>
      </c>
      <c r="BI65">
        <v>32</v>
      </c>
      <c r="BJ65" t="s">
        <v>1087</v>
      </c>
      <c r="BK65" t="s">
        <v>98</v>
      </c>
      <c r="BL65" t="s">
        <v>1087</v>
      </c>
      <c r="BM65" t="s">
        <v>1088</v>
      </c>
      <c r="BN65" t="s">
        <v>74</v>
      </c>
      <c r="BO65" t="s">
        <v>74</v>
      </c>
      <c r="BP65" t="s">
        <v>74</v>
      </c>
      <c r="BQ65" t="s">
        <v>74</v>
      </c>
      <c r="BR65" t="s">
        <v>101</v>
      </c>
      <c r="BS65" t="s">
        <v>1089</v>
      </c>
      <c r="BT65" t="str">
        <f>HYPERLINK("https%3A%2F%2Fwww.webofscience.com%2Fwos%2Fwoscc%2Ffull-record%2FWOS:000075252900002","View Full Record in Web of Science")</f>
        <v>View Full Record in Web of Science</v>
      </c>
    </row>
    <row r="66" spans="1:72" x14ac:dyDescent="0.15">
      <c r="A66" t="s">
        <v>72</v>
      </c>
      <c r="B66" t="s">
        <v>1090</v>
      </c>
      <c r="C66" t="s">
        <v>74</v>
      </c>
      <c r="D66" t="s">
        <v>74</v>
      </c>
      <c r="E66" t="s">
        <v>74</v>
      </c>
      <c r="F66" t="s">
        <v>1090</v>
      </c>
      <c r="G66" t="s">
        <v>74</v>
      </c>
      <c r="H66" t="s">
        <v>74</v>
      </c>
      <c r="I66" t="s">
        <v>1091</v>
      </c>
      <c r="J66" t="s">
        <v>1092</v>
      </c>
      <c r="K66" t="s">
        <v>74</v>
      </c>
      <c r="L66" t="s">
        <v>74</v>
      </c>
      <c r="M66" t="s">
        <v>77</v>
      </c>
      <c r="N66" t="s">
        <v>78</v>
      </c>
      <c r="O66" t="s">
        <v>74</v>
      </c>
      <c r="P66" t="s">
        <v>74</v>
      </c>
      <c r="Q66" t="s">
        <v>74</v>
      </c>
      <c r="R66" t="s">
        <v>74</v>
      </c>
      <c r="S66" t="s">
        <v>74</v>
      </c>
      <c r="T66" t="s">
        <v>74</v>
      </c>
      <c r="U66" t="s">
        <v>1093</v>
      </c>
      <c r="V66" t="s">
        <v>1094</v>
      </c>
      <c r="W66" t="s">
        <v>1095</v>
      </c>
      <c r="X66" t="s">
        <v>1096</v>
      </c>
      <c r="Y66" t="s">
        <v>1097</v>
      </c>
      <c r="Z66" t="s">
        <v>74</v>
      </c>
      <c r="AA66" t="s">
        <v>74</v>
      </c>
      <c r="AB66" t="s">
        <v>1098</v>
      </c>
      <c r="AC66" t="s">
        <v>74</v>
      </c>
      <c r="AD66" t="s">
        <v>74</v>
      </c>
      <c r="AE66" t="s">
        <v>74</v>
      </c>
      <c r="AF66" t="s">
        <v>74</v>
      </c>
      <c r="AG66">
        <v>39</v>
      </c>
      <c r="AH66">
        <v>26</v>
      </c>
      <c r="AI66">
        <v>33</v>
      </c>
      <c r="AJ66">
        <v>0</v>
      </c>
      <c r="AK66">
        <v>5</v>
      </c>
      <c r="AL66" t="s">
        <v>1099</v>
      </c>
      <c r="AM66" t="s">
        <v>201</v>
      </c>
      <c r="AN66" t="s">
        <v>1100</v>
      </c>
      <c r="AO66" t="s">
        <v>1101</v>
      </c>
      <c r="AP66" t="s">
        <v>74</v>
      </c>
      <c r="AQ66" t="s">
        <v>74</v>
      </c>
      <c r="AR66" t="s">
        <v>1102</v>
      </c>
      <c r="AS66" t="s">
        <v>1103</v>
      </c>
      <c r="AT66" t="s">
        <v>1104</v>
      </c>
      <c r="AU66">
        <v>1998</v>
      </c>
      <c r="AV66">
        <v>330</v>
      </c>
      <c r="AW66" t="s">
        <v>74</v>
      </c>
      <c r="AX66">
        <v>1</v>
      </c>
      <c r="AY66" t="s">
        <v>74</v>
      </c>
      <c r="AZ66" t="s">
        <v>74</v>
      </c>
      <c r="BA66" t="s">
        <v>74</v>
      </c>
      <c r="BB66">
        <v>375</v>
      </c>
      <c r="BC66">
        <v>382</v>
      </c>
      <c r="BD66" t="s">
        <v>74</v>
      </c>
      <c r="BE66" t="s">
        <v>74</v>
      </c>
      <c r="BF66" t="s">
        <v>74</v>
      </c>
      <c r="BG66" t="s">
        <v>74</v>
      </c>
      <c r="BH66" t="s">
        <v>74</v>
      </c>
      <c r="BI66">
        <v>8</v>
      </c>
      <c r="BJ66" t="s">
        <v>951</v>
      </c>
      <c r="BK66" t="s">
        <v>98</v>
      </c>
      <c r="BL66" t="s">
        <v>951</v>
      </c>
      <c r="BM66" t="s">
        <v>1105</v>
      </c>
      <c r="BN66">
        <v>9461533</v>
      </c>
      <c r="BO66" t="s">
        <v>74</v>
      </c>
      <c r="BP66" t="s">
        <v>74</v>
      </c>
      <c r="BQ66" t="s">
        <v>74</v>
      </c>
      <c r="BR66" t="s">
        <v>101</v>
      </c>
      <c r="BS66" t="s">
        <v>1106</v>
      </c>
      <c r="BT66" t="str">
        <f>HYPERLINK("https%3A%2F%2Fwww.webofscience.com%2Fwos%2Fwoscc%2Ffull-record%2FWOS:000072441800053","View Full Record in Web of Science")</f>
        <v>View Full Record in Web of Science</v>
      </c>
    </row>
    <row r="67" spans="1:72" x14ac:dyDescent="0.15">
      <c r="A67" t="s">
        <v>72</v>
      </c>
      <c r="B67" t="s">
        <v>1107</v>
      </c>
      <c r="C67" t="s">
        <v>74</v>
      </c>
      <c r="D67" t="s">
        <v>74</v>
      </c>
      <c r="E67" t="s">
        <v>74</v>
      </c>
      <c r="F67" t="s">
        <v>1107</v>
      </c>
      <c r="G67" t="s">
        <v>74</v>
      </c>
      <c r="H67" t="s">
        <v>74</v>
      </c>
      <c r="I67" t="s">
        <v>1108</v>
      </c>
      <c r="J67" t="s">
        <v>76</v>
      </c>
      <c r="K67" t="s">
        <v>74</v>
      </c>
      <c r="L67" t="s">
        <v>74</v>
      </c>
      <c r="M67" t="s">
        <v>77</v>
      </c>
      <c r="N67" t="s">
        <v>78</v>
      </c>
      <c r="O67" t="s">
        <v>74</v>
      </c>
      <c r="P67" t="s">
        <v>74</v>
      </c>
      <c r="Q67" t="s">
        <v>74</v>
      </c>
      <c r="R67" t="s">
        <v>74</v>
      </c>
      <c r="S67" t="s">
        <v>74</v>
      </c>
      <c r="T67" t="s">
        <v>74</v>
      </c>
      <c r="U67" t="s">
        <v>1109</v>
      </c>
      <c r="V67" t="s">
        <v>1110</v>
      </c>
      <c r="W67" t="s">
        <v>1111</v>
      </c>
      <c r="X67" t="s">
        <v>1112</v>
      </c>
      <c r="Y67" t="s">
        <v>1113</v>
      </c>
      <c r="Z67" t="s">
        <v>1114</v>
      </c>
      <c r="AA67" t="s">
        <v>1115</v>
      </c>
      <c r="AB67" t="s">
        <v>74</v>
      </c>
      <c r="AC67" t="s">
        <v>74</v>
      </c>
      <c r="AD67" t="s">
        <v>74</v>
      </c>
      <c r="AE67" t="s">
        <v>74</v>
      </c>
      <c r="AF67" t="s">
        <v>74</v>
      </c>
      <c r="AG67">
        <v>26</v>
      </c>
      <c r="AH67">
        <v>11</v>
      </c>
      <c r="AI67">
        <v>11</v>
      </c>
      <c r="AJ67">
        <v>0</v>
      </c>
      <c r="AK67">
        <v>3</v>
      </c>
      <c r="AL67" t="s">
        <v>87</v>
      </c>
      <c r="AM67" t="s">
        <v>88</v>
      </c>
      <c r="AN67" t="s">
        <v>89</v>
      </c>
      <c r="AO67" t="s">
        <v>74</v>
      </c>
      <c r="AP67" t="s">
        <v>74</v>
      </c>
      <c r="AQ67" t="s">
        <v>74</v>
      </c>
      <c r="AR67" t="s">
        <v>92</v>
      </c>
      <c r="AS67" t="s">
        <v>93</v>
      </c>
      <c r="AT67" t="s">
        <v>1104</v>
      </c>
      <c r="AU67">
        <v>1998</v>
      </c>
      <c r="AV67">
        <v>103</v>
      </c>
      <c r="AW67" t="s">
        <v>1116</v>
      </c>
      <c r="AX67" t="s">
        <v>74</v>
      </c>
      <c r="AY67" t="s">
        <v>74</v>
      </c>
      <c r="AZ67" t="s">
        <v>74</v>
      </c>
      <c r="BA67" t="s">
        <v>74</v>
      </c>
      <c r="BB67">
        <v>2919</v>
      </c>
      <c r="BC67">
        <v>2928</v>
      </c>
      <c r="BD67" t="s">
        <v>74</v>
      </c>
      <c r="BE67" t="s">
        <v>1117</v>
      </c>
      <c r="BF67" t="str">
        <f>HYPERLINK("http://dx.doi.org/10.1029/97JC02763","http://dx.doi.org/10.1029/97JC02763")</f>
        <v>http://dx.doi.org/10.1029/97JC02763</v>
      </c>
      <c r="BG67" t="s">
        <v>74</v>
      </c>
      <c r="BH67" t="s">
        <v>74</v>
      </c>
      <c r="BI67">
        <v>10</v>
      </c>
      <c r="BJ67" t="s">
        <v>97</v>
      </c>
      <c r="BK67" t="s">
        <v>98</v>
      </c>
      <c r="BL67" t="s">
        <v>97</v>
      </c>
      <c r="BM67" t="s">
        <v>1118</v>
      </c>
      <c r="BN67" t="s">
        <v>74</v>
      </c>
      <c r="BO67" t="s">
        <v>100</v>
      </c>
      <c r="BP67" t="s">
        <v>74</v>
      </c>
      <c r="BQ67" t="s">
        <v>74</v>
      </c>
      <c r="BR67" t="s">
        <v>101</v>
      </c>
      <c r="BS67" t="s">
        <v>1119</v>
      </c>
      <c r="BT67" t="str">
        <f>HYPERLINK("https%3A%2F%2Fwww.webofscience.com%2Fwos%2Fwoscc%2Ffull-record%2FWOS:000072115500010","View Full Record in Web of Science")</f>
        <v>View Full Record in Web of Science</v>
      </c>
    </row>
    <row r="68" spans="1:72" x14ac:dyDescent="0.15">
      <c r="A68" t="s">
        <v>72</v>
      </c>
      <c r="B68" t="s">
        <v>1120</v>
      </c>
      <c r="C68" t="s">
        <v>74</v>
      </c>
      <c r="D68" t="s">
        <v>74</v>
      </c>
      <c r="E68" t="s">
        <v>74</v>
      </c>
      <c r="F68" t="s">
        <v>1120</v>
      </c>
      <c r="G68" t="s">
        <v>74</v>
      </c>
      <c r="H68" t="s">
        <v>74</v>
      </c>
      <c r="I68" t="s">
        <v>1121</v>
      </c>
      <c r="J68" t="s">
        <v>76</v>
      </c>
      <c r="K68" t="s">
        <v>74</v>
      </c>
      <c r="L68" t="s">
        <v>74</v>
      </c>
      <c r="M68" t="s">
        <v>77</v>
      </c>
      <c r="N68" t="s">
        <v>78</v>
      </c>
      <c r="O68" t="s">
        <v>74</v>
      </c>
      <c r="P68" t="s">
        <v>74</v>
      </c>
      <c r="Q68" t="s">
        <v>74</v>
      </c>
      <c r="R68" t="s">
        <v>74</v>
      </c>
      <c r="S68" t="s">
        <v>74</v>
      </c>
      <c r="T68" t="s">
        <v>74</v>
      </c>
      <c r="U68" t="s">
        <v>1122</v>
      </c>
      <c r="V68" t="s">
        <v>1123</v>
      </c>
      <c r="W68" t="s">
        <v>1124</v>
      </c>
      <c r="X68" t="s">
        <v>1125</v>
      </c>
      <c r="Y68" t="s">
        <v>1126</v>
      </c>
      <c r="Z68" t="s">
        <v>1127</v>
      </c>
      <c r="AA68" t="s">
        <v>1128</v>
      </c>
      <c r="AB68" t="s">
        <v>1129</v>
      </c>
      <c r="AC68" t="s">
        <v>74</v>
      </c>
      <c r="AD68" t="s">
        <v>74</v>
      </c>
      <c r="AE68" t="s">
        <v>74</v>
      </c>
      <c r="AF68" t="s">
        <v>74</v>
      </c>
      <c r="AG68">
        <v>39</v>
      </c>
      <c r="AH68">
        <v>35</v>
      </c>
      <c r="AI68">
        <v>38</v>
      </c>
      <c r="AJ68">
        <v>0</v>
      </c>
      <c r="AK68">
        <v>3</v>
      </c>
      <c r="AL68" t="s">
        <v>87</v>
      </c>
      <c r="AM68" t="s">
        <v>88</v>
      </c>
      <c r="AN68" t="s">
        <v>89</v>
      </c>
      <c r="AO68" t="s">
        <v>90</v>
      </c>
      <c r="AP68" t="s">
        <v>91</v>
      </c>
      <c r="AQ68" t="s">
        <v>74</v>
      </c>
      <c r="AR68" t="s">
        <v>92</v>
      </c>
      <c r="AS68" t="s">
        <v>93</v>
      </c>
      <c r="AT68" t="s">
        <v>1104</v>
      </c>
      <c r="AU68">
        <v>1998</v>
      </c>
      <c r="AV68">
        <v>103</v>
      </c>
      <c r="AW68" t="s">
        <v>1116</v>
      </c>
      <c r="AX68" t="s">
        <v>74</v>
      </c>
      <c r="AY68" t="s">
        <v>74</v>
      </c>
      <c r="AZ68" t="s">
        <v>74</v>
      </c>
      <c r="BA68" t="s">
        <v>74</v>
      </c>
      <c r="BB68">
        <v>2929</v>
      </c>
      <c r="BC68">
        <v>2943</v>
      </c>
      <c r="BD68" t="s">
        <v>74</v>
      </c>
      <c r="BE68" t="s">
        <v>1130</v>
      </c>
      <c r="BF68" t="str">
        <f>HYPERLINK("http://dx.doi.org/10.1029/97JC02442","http://dx.doi.org/10.1029/97JC02442")</f>
        <v>http://dx.doi.org/10.1029/97JC02442</v>
      </c>
      <c r="BG68" t="s">
        <v>74</v>
      </c>
      <c r="BH68" t="s">
        <v>74</v>
      </c>
      <c r="BI68">
        <v>15</v>
      </c>
      <c r="BJ68" t="s">
        <v>97</v>
      </c>
      <c r="BK68" t="s">
        <v>98</v>
      </c>
      <c r="BL68" t="s">
        <v>97</v>
      </c>
      <c r="BM68" t="s">
        <v>1118</v>
      </c>
      <c r="BN68" t="s">
        <v>74</v>
      </c>
      <c r="BO68" t="s">
        <v>100</v>
      </c>
      <c r="BP68" t="s">
        <v>74</v>
      </c>
      <c r="BQ68" t="s">
        <v>74</v>
      </c>
      <c r="BR68" t="s">
        <v>101</v>
      </c>
      <c r="BS68" t="s">
        <v>1131</v>
      </c>
      <c r="BT68" t="str">
        <f>HYPERLINK("https%3A%2F%2Fwww.webofscience.com%2Fwos%2Fwoscc%2Ffull-record%2FWOS:000072115500011","View Full Record in Web of Science")</f>
        <v>View Full Record in Web of Science</v>
      </c>
    </row>
    <row r="69" spans="1:72" x14ac:dyDescent="0.15">
      <c r="A69" t="s">
        <v>72</v>
      </c>
      <c r="B69" t="s">
        <v>1132</v>
      </c>
      <c r="C69" t="s">
        <v>74</v>
      </c>
      <c r="D69" t="s">
        <v>74</v>
      </c>
      <c r="E69" t="s">
        <v>74</v>
      </c>
      <c r="F69" t="s">
        <v>1132</v>
      </c>
      <c r="G69" t="s">
        <v>74</v>
      </c>
      <c r="H69" t="s">
        <v>74</v>
      </c>
      <c r="I69" t="s">
        <v>1133</v>
      </c>
      <c r="J69" t="s">
        <v>1134</v>
      </c>
      <c r="K69" t="s">
        <v>74</v>
      </c>
      <c r="L69" t="s">
        <v>74</v>
      </c>
      <c r="M69" t="s">
        <v>77</v>
      </c>
      <c r="N69" t="s">
        <v>1135</v>
      </c>
      <c r="O69" t="s">
        <v>74</v>
      </c>
      <c r="P69" t="s">
        <v>74</v>
      </c>
      <c r="Q69" t="s">
        <v>74</v>
      </c>
      <c r="R69" t="s">
        <v>74</v>
      </c>
      <c r="S69" t="s">
        <v>74</v>
      </c>
      <c r="T69" t="s">
        <v>74</v>
      </c>
      <c r="U69" t="s">
        <v>74</v>
      </c>
      <c r="V69" t="s">
        <v>74</v>
      </c>
      <c r="W69" t="s">
        <v>74</v>
      </c>
      <c r="X69" t="s">
        <v>74</v>
      </c>
      <c r="Y69" t="s">
        <v>74</v>
      </c>
      <c r="Z69" t="s">
        <v>74</v>
      </c>
      <c r="AA69" t="s">
        <v>74</v>
      </c>
      <c r="AB69" t="s">
        <v>74</v>
      </c>
      <c r="AC69" t="s">
        <v>74</v>
      </c>
      <c r="AD69" t="s">
        <v>74</v>
      </c>
      <c r="AE69" t="s">
        <v>74</v>
      </c>
      <c r="AF69" t="s">
        <v>74</v>
      </c>
      <c r="AG69">
        <v>2</v>
      </c>
      <c r="AH69">
        <v>0</v>
      </c>
      <c r="AI69">
        <v>0</v>
      </c>
      <c r="AJ69">
        <v>0</v>
      </c>
      <c r="AK69">
        <v>0</v>
      </c>
      <c r="AL69" t="s">
        <v>1136</v>
      </c>
      <c r="AM69" t="s">
        <v>244</v>
      </c>
      <c r="AN69" t="s">
        <v>1137</v>
      </c>
      <c r="AO69" t="s">
        <v>1138</v>
      </c>
      <c r="AP69" t="s">
        <v>74</v>
      </c>
      <c r="AQ69" t="s">
        <v>74</v>
      </c>
      <c r="AR69" t="s">
        <v>1139</v>
      </c>
      <c r="AS69" t="s">
        <v>1140</v>
      </c>
      <c r="AT69" t="s">
        <v>1104</v>
      </c>
      <c r="AU69">
        <v>1998</v>
      </c>
      <c r="AV69" t="s">
        <v>74</v>
      </c>
      <c r="AW69" t="s">
        <v>74</v>
      </c>
      <c r="AX69" t="s">
        <v>74</v>
      </c>
      <c r="AY69" t="s">
        <v>74</v>
      </c>
      <c r="AZ69" t="s">
        <v>74</v>
      </c>
      <c r="BA69" t="s">
        <v>74</v>
      </c>
      <c r="BB69">
        <v>25</v>
      </c>
      <c r="BC69">
        <v>25</v>
      </c>
      <c r="BD69" t="s">
        <v>74</v>
      </c>
      <c r="BE69" t="s">
        <v>74</v>
      </c>
      <c r="BF69" t="s">
        <v>74</v>
      </c>
      <c r="BG69" t="s">
        <v>74</v>
      </c>
      <c r="BH69" t="s">
        <v>74</v>
      </c>
      <c r="BI69">
        <v>1</v>
      </c>
      <c r="BJ69" t="s">
        <v>1141</v>
      </c>
      <c r="BK69" t="s">
        <v>1142</v>
      </c>
      <c r="BL69" t="s">
        <v>1143</v>
      </c>
      <c r="BM69" t="s">
        <v>1144</v>
      </c>
      <c r="BN69" t="s">
        <v>74</v>
      </c>
      <c r="BO69" t="s">
        <v>74</v>
      </c>
      <c r="BP69" t="s">
        <v>74</v>
      </c>
      <c r="BQ69" t="s">
        <v>74</v>
      </c>
      <c r="BR69" t="s">
        <v>101</v>
      </c>
      <c r="BS69" t="s">
        <v>1145</v>
      </c>
      <c r="BT69" t="str">
        <f>HYPERLINK("https%3A%2F%2Fwww.webofscience.com%2Fwos%2Fwoscc%2Ffull-record%2FWOS:000071900000030","View Full Record in Web of Science")</f>
        <v>View Full Record in Web of Science</v>
      </c>
    </row>
    <row r="70" spans="1:72" x14ac:dyDescent="0.15">
      <c r="A70" t="s">
        <v>72</v>
      </c>
      <c r="B70" t="s">
        <v>1132</v>
      </c>
      <c r="C70" t="s">
        <v>74</v>
      </c>
      <c r="D70" t="s">
        <v>74</v>
      </c>
      <c r="E70" t="s">
        <v>74</v>
      </c>
      <c r="F70" t="s">
        <v>1132</v>
      </c>
      <c r="G70" t="s">
        <v>74</v>
      </c>
      <c r="H70" t="s">
        <v>74</v>
      </c>
      <c r="I70" t="s">
        <v>1146</v>
      </c>
      <c r="J70" t="s">
        <v>1134</v>
      </c>
      <c r="K70" t="s">
        <v>74</v>
      </c>
      <c r="L70" t="s">
        <v>74</v>
      </c>
      <c r="M70" t="s">
        <v>77</v>
      </c>
      <c r="N70" t="s">
        <v>1135</v>
      </c>
      <c r="O70" t="s">
        <v>74</v>
      </c>
      <c r="P70" t="s">
        <v>74</v>
      </c>
      <c r="Q70" t="s">
        <v>74</v>
      </c>
      <c r="R70" t="s">
        <v>74</v>
      </c>
      <c r="S70" t="s">
        <v>74</v>
      </c>
      <c r="T70" t="s">
        <v>74</v>
      </c>
      <c r="U70" t="s">
        <v>74</v>
      </c>
      <c r="V70" t="s">
        <v>74</v>
      </c>
      <c r="W70" t="s">
        <v>74</v>
      </c>
      <c r="X70" t="s">
        <v>74</v>
      </c>
      <c r="Y70" t="s">
        <v>74</v>
      </c>
      <c r="Z70" t="s">
        <v>74</v>
      </c>
      <c r="AA70" t="s">
        <v>74</v>
      </c>
      <c r="AB70" t="s">
        <v>74</v>
      </c>
      <c r="AC70" t="s">
        <v>74</v>
      </c>
      <c r="AD70" t="s">
        <v>74</v>
      </c>
      <c r="AE70" t="s">
        <v>74</v>
      </c>
      <c r="AF70" t="s">
        <v>74</v>
      </c>
      <c r="AG70">
        <v>1</v>
      </c>
      <c r="AH70">
        <v>0</v>
      </c>
      <c r="AI70">
        <v>0</v>
      </c>
      <c r="AJ70">
        <v>0</v>
      </c>
      <c r="AK70">
        <v>0</v>
      </c>
      <c r="AL70" t="s">
        <v>1136</v>
      </c>
      <c r="AM70" t="s">
        <v>244</v>
      </c>
      <c r="AN70" t="s">
        <v>1137</v>
      </c>
      <c r="AO70" t="s">
        <v>1138</v>
      </c>
      <c r="AP70" t="s">
        <v>74</v>
      </c>
      <c r="AQ70" t="s">
        <v>74</v>
      </c>
      <c r="AR70" t="s">
        <v>1139</v>
      </c>
      <c r="AS70" t="s">
        <v>1140</v>
      </c>
      <c r="AT70" t="s">
        <v>1104</v>
      </c>
      <c r="AU70">
        <v>1998</v>
      </c>
      <c r="AV70" t="s">
        <v>74</v>
      </c>
      <c r="AW70" t="s">
        <v>74</v>
      </c>
      <c r="AX70" t="s">
        <v>74</v>
      </c>
      <c r="AY70" t="s">
        <v>74</v>
      </c>
      <c r="AZ70" t="s">
        <v>74</v>
      </c>
      <c r="BA70" t="s">
        <v>74</v>
      </c>
      <c r="BB70">
        <v>25</v>
      </c>
      <c r="BC70">
        <v>25</v>
      </c>
      <c r="BD70" t="s">
        <v>74</v>
      </c>
      <c r="BE70" t="s">
        <v>74</v>
      </c>
      <c r="BF70" t="s">
        <v>74</v>
      </c>
      <c r="BG70" t="s">
        <v>74</v>
      </c>
      <c r="BH70" t="s">
        <v>74</v>
      </c>
      <c r="BI70">
        <v>1</v>
      </c>
      <c r="BJ70" t="s">
        <v>1141</v>
      </c>
      <c r="BK70" t="s">
        <v>1142</v>
      </c>
      <c r="BL70" t="s">
        <v>1143</v>
      </c>
      <c r="BM70" t="s">
        <v>1144</v>
      </c>
      <c r="BN70" t="s">
        <v>74</v>
      </c>
      <c r="BO70" t="s">
        <v>74</v>
      </c>
      <c r="BP70" t="s">
        <v>74</v>
      </c>
      <c r="BQ70" t="s">
        <v>74</v>
      </c>
      <c r="BR70" t="s">
        <v>101</v>
      </c>
      <c r="BS70" t="s">
        <v>1147</v>
      </c>
      <c r="BT70" t="str">
        <f>HYPERLINK("https%3A%2F%2Fwww.webofscience.com%2Fwos%2Fwoscc%2Ffull-record%2FWOS:000071900000031","View Full Record in Web of Science")</f>
        <v>View Full Record in Web of Science</v>
      </c>
    </row>
    <row r="71" spans="1:72" x14ac:dyDescent="0.15">
      <c r="A71" t="s">
        <v>72</v>
      </c>
      <c r="B71" t="s">
        <v>1148</v>
      </c>
      <c r="C71" t="s">
        <v>74</v>
      </c>
      <c r="D71" t="s">
        <v>74</v>
      </c>
      <c r="E71" t="s">
        <v>74</v>
      </c>
      <c r="F71" t="s">
        <v>1148</v>
      </c>
      <c r="G71" t="s">
        <v>74</v>
      </c>
      <c r="H71" t="s">
        <v>74</v>
      </c>
      <c r="I71" t="s">
        <v>1149</v>
      </c>
      <c r="J71" t="s">
        <v>1150</v>
      </c>
      <c r="K71" t="s">
        <v>74</v>
      </c>
      <c r="L71" t="s">
        <v>74</v>
      </c>
      <c r="M71" t="s">
        <v>77</v>
      </c>
      <c r="N71" t="s">
        <v>78</v>
      </c>
      <c r="O71" t="s">
        <v>74</v>
      </c>
      <c r="P71" t="s">
        <v>74</v>
      </c>
      <c r="Q71" t="s">
        <v>74</v>
      </c>
      <c r="R71" t="s">
        <v>74</v>
      </c>
      <c r="S71" t="s">
        <v>74</v>
      </c>
      <c r="T71" t="s">
        <v>1151</v>
      </c>
      <c r="U71" t="s">
        <v>1152</v>
      </c>
      <c r="V71" t="s">
        <v>1153</v>
      </c>
      <c r="W71" t="s">
        <v>1154</v>
      </c>
      <c r="X71" t="s">
        <v>1155</v>
      </c>
      <c r="Y71" t="s">
        <v>1156</v>
      </c>
      <c r="Z71" t="s">
        <v>74</v>
      </c>
      <c r="AA71" t="s">
        <v>1157</v>
      </c>
      <c r="AB71" t="s">
        <v>1158</v>
      </c>
      <c r="AC71" t="s">
        <v>74</v>
      </c>
      <c r="AD71" t="s">
        <v>74</v>
      </c>
      <c r="AE71" t="s">
        <v>74</v>
      </c>
      <c r="AF71" t="s">
        <v>74</v>
      </c>
      <c r="AG71">
        <v>43</v>
      </c>
      <c r="AH71">
        <v>28</v>
      </c>
      <c r="AI71">
        <v>31</v>
      </c>
      <c r="AJ71">
        <v>0</v>
      </c>
      <c r="AK71">
        <v>6</v>
      </c>
      <c r="AL71" t="s">
        <v>1159</v>
      </c>
      <c r="AM71" t="s">
        <v>1160</v>
      </c>
      <c r="AN71" t="s">
        <v>1161</v>
      </c>
      <c r="AO71" t="s">
        <v>1162</v>
      </c>
      <c r="AP71" t="s">
        <v>74</v>
      </c>
      <c r="AQ71" t="s">
        <v>74</v>
      </c>
      <c r="AR71" t="s">
        <v>1163</v>
      </c>
      <c r="AS71" t="s">
        <v>1164</v>
      </c>
      <c r="AT71" t="s">
        <v>1165</v>
      </c>
      <c r="AU71">
        <v>1998</v>
      </c>
      <c r="AV71">
        <v>14</v>
      </c>
      <c r="AW71">
        <v>2</v>
      </c>
      <c r="AX71" t="s">
        <v>74</v>
      </c>
      <c r="AY71" t="s">
        <v>74</v>
      </c>
      <c r="AZ71" t="s">
        <v>74</v>
      </c>
      <c r="BA71" t="s">
        <v>74</v>
      </c>
      <c r="BB71">
        <v>129</v>
      </c>
      <c r="BC71">
        <v>136</v>
      </c>
      <c r="BD71" t="s">
        <v>74</v>
      </c>
      <c r="BE71" t="s">
        <v>1166</v>
      </c>
      <c r="BF71" t="str">
        <f>HYPERLINK("http://dx.doi.org/10.3354/ame014129","http://dx.doi.org/10.3354/ame014129")</f>
        <v>http://dx.doi.org/10.3354/ame014129</v>
      </c>
      <c r="BG71" t="s">
        <v>74</v>
      </c>
      <c r="BH71" t="s">
        <v>74</v>
      </c>
      <c r="BI71">
        <v>8</v>
      </c>
      <c r="BJ71" t="s">
        <v>1167</v>
      </c>
      <c r="BK71" t="s">
        <v>98</v>
      </c>
      <c r="BL71" t="s">
        <v>1168</v>
      </c>
      <c r="BM71" t="s">
        <v>1169</v>
      </c>
      <c r="BN71" t="s">
        <v>74</v>
      </c>
      <c r="BO71" t="s">
        <v>100</v>
      </c>
      <c r="BP71" t="s">
        <v>74</v>
      </c>
      <c r="BQ71" t="s">
        <v>74</v>
      </c>
      <c r="BR71" t="s">
        <v>101</v>
      </c>
      <c r="BS71" t="s">
        <v>1170</v>
      </c>
      <c r="BT71" t="str">
        <f>HYPERLINK("https%3A%2F%2Fwww.webofscience.com%2Fwos%2Fwoscc%2Ffull-record%2FWOS:000072138900003","View Full Record in Web of Science")</f>
        <v>View Full Record in Web of Science</v>
      </c>
    </row>
    <row r="72" spans="1:72" x14ac:dyDescent="0.15">
      <c r="A72" t="s">
        <v>72</v>
      </c>
      <c r="B72" t="s">
        <v>1171</v>
      </c>
      <c r="C72" t="s">
        <v>74</v>
      </c>
      <c r="D72" t="s">
        <v>74</v>
      </c>
      <c r="E72" t="s">
        <v>74</v>
      </c>
      <c r="F72" t="s">
        <v>1171</v>
      </c>
      <c r="G72" t="s">
        <v>74</v>
      </c>
      <c r="H72" t="s">
        <v>74</v>
      </c>
      <c r="I72" t="s">
        <v>1172</v>
      </c>
      <c r="J72" t="s">
        <v>1173</v>
      </c>
      <c r="K72" t="s">
        <v>74</v>
      </c>
      <c r="L72" t="s">
        <v>74</v>
      </c>
      <c r="M72" t="s">
        <v>77</v>
      </c>
      <c r="N72" t="s">
        <v>78</v>
      </c>
      <c r="O72" t="s">
        <v>74</v>
      </c>
      <c r="P72" t="s">
        <v>74</v>
      </c>
      <c r="Q72" t="s">
        <v>74</v>
      </c>
      <c r="R72" t="s">
        <v>74</v>
      </c>
      <c r="S72" t="s">
        <v>74</v>
      </c>
      <c r="T72" t="s">
        <v>1174</v>
      </c>
      <c r="U72" t="s">
        <v>1175</v>
      </c>
      <c r="V72" t="s">
        <v>1176</v>
      </c>
      <c r="W72" t="s">
        <v>1177</v>
      </c>
      <c r="X72" t="s">
        <v>1178</v>
      </c>
      <c r="Y72" t="s">
        <v>1179</v>
      </c>
      <c r="Z72" t="s">
        <v>74</v>
      </c>
      <c r="AA72" t="s">
        <v>1180</v>
      </c>
      <c r="AB72" t="s">
        <v>1181</v>
      </c>
      <c r="AC72" t="s">
        <v>74</v>
      </c>
      <c r="AD72" t="s">
        <v>74</v>
      </c>
      <c r="AE72" t="s">
        <v>74</v>
      </c>
      <c r="AF72" t="s">
        <v>74</v>
      </c>
      <c r="AG72">
        <v>18</v>
      </c>
      <c r="AH72">
        <v>12</v>
      </c>
      <c r="AI72">
        <v>22</v>
      </c>
      <c r="AJ72">
        <v>0</v>
      </c>
      <c r="AK72">
        <v>17</v>
      </c>
      <c r="AL72" t="s">
        <v>1029</v>
      </c>
      <c r="AM72" t="s">
        <v>1030</v>
      </c>
      <c r="AN72" t="s">
        <v>1031</v>
      </c>
      <c r="AO72" t="s">
        <v>1182</v>
      </c>
      <c r="AP72" t="s">
        <v>74</v>
      </c>
      <c r="AQ72" t="s">
        <v>74</v>
      </c>
      <c r="AR72" t="s">
        <v>1183</v>
      </c>
      <c r="AS72" t="s">
        <v>1184</v>
      </c>
      <c r="AT72" t="s">
        <v>1165</v>
      </c>
      <c r="AU72">
        <v>1998</v>
      </c>
      <c r="AV72">
        <v>705</v>
      </c>
      <c r="AW72">
        <v>2</v>
      </c>
      <c r="AX72" t="s">
        <v>74</v>
      </c>
      <c r="AY72" t="s">
        <v>74</v>
      </c>
      <c r="AZ72" t="s">
        <v>74</v>
      </c>
      <c r="BA72" t="s">
        <v>74</v>
      </c>
      <c r="BB72">
        <v>231</v>
      </c>
      <c r="BC72">
        <v>241</v>
      </c>
      <c r="BD72" t="s">
        <v>74</v>
      </c>
      <c r="BE72" t="s">
        <v>1185</v>
      </c>
      <c r="BF72" t="str">
        <f>HYPERLINK("http://dx.doi.org/10.1016/S0378-4347(97)00552-5","http://dx.doi.org/10.1016/S0378-4347(97)00552-5")</f>
        <v>http://dx.doi.org/10.1016/S0378-4347(97)00552-5</v>
      </c>
      <c r="BG72" t="s">
        <v>74</v>
      </c>
      <c r="BH72" t="s">
        <v>74</v>
      </c>
      <c r="BI72">
        <v>11</v>
      </c>
      <c r="BJ72" t="s">
        <v>1186</v>
      </c>
      <c r="BK72" t="s">
        <v>98</v>
      </c>
      <c r="BL72" t="s">
        <v>1187</v>
      </c>
      <c r="BM72" t="s">
        <v>1188</v>
      </c>
      <c r="BN72">
        <v>9521559</v>
      </c>
      <c r="BO72" t="s">
        <v>74</v>
      </c>
      <c r="BP72" t="s">
        <v>74</v>
      </c>
      <c r="BQ72" t="s">
        <v>74</v>
      </c>
      <c r="BR72" t="s">
        <v>101</v>
      </c>
      <c r="BS72" t="s">
        <v>1189</v>
      </c>
      <c r="BT72" t="str">
        <f>HYPERLINK("https%3A%2F%2Fwww.webofscience.com%2Fwos%2Fwoscc%2Ffull-record%2FWOS:000072178500007","View Full Record in Web of Science")</f>
        <v>View Full Record in Web of Science</v>
      </c>
    </row>
    <row r="73" spans="1:72" x14ac:dyDescent="0.15">
      <c r="A73" t="s">
        <v>72</v>
      </c>
      <c r="B73" t="s">
        <v>1190</v>
      </c>
      <c r="C73" t="s">
        <v>74</v>
      </c>
      <c r="D73" t="s">
        <v>74</v>
      </c>
      <c r="E73" t="s">
        <v>74</v>
      </c>
      <c r="F73" t="s">
        <v>1190</v>
      </c>
      <c r="G73" t="s">
        <v>74</v>
      </c>
      <c r="H73" t="s">
        <v>74</v>
      </c>
      <c r="I73" t="s">
        <v>1191</v>
      </c>
      <c r="J73" t="s">
        <v>127</v>
      </c>
      <c r="K73" t="s">
        <v>74</v>
      </c>
      <c r="L73" t="s">
        <v>74</v>
      </c>
      <c r="M73" t="s">
        <v>77</v>
      </c>
      <c r="N73" t="s">
        <v>78</v>
      </c>
      <c r="O73" t="s">
        <v>74</v>
      </c>
      <c r="P73" t="s">
        <v>74</v>
      </c>
      <c r="Q73" t="s">
        <v>74</v>
      </c>
      <c r="R73" t="s">
        <v>74</v>
      </c>
      <c r="S73" t="s">
        <v>74</v>
      </c>
      <c r="T73" t="s">
        <v>74</v>
      </c>
      <c r="U73" t="s">
        <v>1192</v>
      </c>
      <c r="V73" t="s">
        <v>1193</v>
      </c>
      <c r="W73" t="s">
        <v>1194</v>
      </c>
      <c r="X73" t="s">
        <v>1195</v>
      </c>
      <c r="Y73" t="s">
        <v>1196</v>
      </c>
      <c r="Z73" t="s">
        <v>1197</v>
      </c>
      <c r="AA73" t="s">
        <v>1198</v>
      </c>
      <c r="AB73" t="s">
        <v>1199</v>
      </c>
      <c r="AC73" t="s">
        <v>74</v>
      </c>
      <c r="AD73" t="s">
        <v>74</v>
      </c>
      <c r="AE73" t="s">
        <v>74</v>
      </c>
      <c r="AF73" t="s">
        <v>74</v>
      </c>
      <c r="AG73">
        <v>48</v>
      </c>
      <c r="AH73">
        <v>148</v>
      </c>
      <c r="AI73">
        <v>161</v>
      </c>
      <c r="AJ73">
        <v>0</v>
      </c>
      <c r="AK73">
        <v>15</v>
      </c>
      <c r="AL73" t="s">
        <v>87</v>
      </c>
      <c r="AM73" t="s">
        <v>88</v>
      </c>
      <c r="AN73" t="s">
        <v>89</v>
      </c>
      <c r="AO73" t="s">
        <v>136</v>
      </c>
      <c r="AP73" t="s">
        <v>137</v>
      </c>
      <c r="AQ73" t="s">
        <v>74</v>
      </c>
      <c r="AR73" t="s">
        <v>138</v>
      </c>
      <c r="AS73" t="s">
        <v>139</v>
      </c>
      <c r="AT73" t="s">
        <v>1200</v>
      </c>
      <c r="AU73">
        <v>1998</v>
      </c>
      <c r="AV73">
        <v>103</v>
      </c>
      <c r="AW73" t="s">
        <v>1201</v>
      </c>
      <c r="AX73" t="s">
        <v>74</v>
      </c>
      <c r="AY73" t="s">
        <v>74</v>
      </c>
      <c r="AZ73" t="s">
        <v>74</v>
      </c>
      <c r="BA73" t="s">
        <v>74</v>
      </c>
      <c r="BB73">
        <v>2529</v>
      </c>
      <c r="BC73">
        <v>2547</v>
      </c>
      <c r="BD73" t="s">
        <v>74</v>
      </c>
      <c r="BE73" t="s">
        <v>1202</v>
      </c>
      <c r="BF73" t="str">
        <f>HYPERLINK("http://dx.doi.org/10.1029/97JB02605","http://dx.doi.org/10.1029/97JB02605")</f>
        <v>http://dx.doi.org/10.1029/97JB02605</v>
      </c>
      <c r="BG73" t="s">
        <v>74</v>
      </c>
      <c r="BH73" t="s">
        <v>74</v>
      </c>
      <c r="BI73">
        <v>19</v>
      </c>
      <c r="BJ73" t="s">
        <v>143</v>
      </c>
      <c r="BK73" t="s">
        <v>98</v>
      </c>
      <c r="BL73" t="s">
        <v>143</v>
      </c>
      <c r="BM73" t="s">
        <v>1203</v>
      </c>
      <c r="BN73" t="s">
        <v>74</v>
      </c>
      <c r="BO73" t="s">
        <v>74</v>
      </c>
      <c r="BP73" t="s">
        <v>74</v>
      </c>
      <c r="BQ73" t="s">
        <v>74</v>
      </c>
      <c r="BR73" t="s">
        <v>101</v>
      </c>
      <c r="BS73" t="s">
        <v>1204</v>
      </c>
      <c r="BT73" t="str">
        <f>HYPERLINK("https%3A%2F%2Fwww.webofscience.com%2Fwos%2Fwoscc%2Ffull-record%2FWOS:000071929600010","View Full Record in Web of Science")</f>
        <v>View Full Record in Web of Science</v>
      </c>
    </row>
    <row r="74" spans="1:72" x14ac:dyDescent="0.15">
      <c r="A74" t="s">
        <v>72</v>
      </c>
      <c r="B74" t="s">
        <v>1205</v>
      </c>
      <c r="C74" t="s">
        <v>74</v>
      </c>
      <c r="D74" t="s">
        <v>74</v>
      </c>
      <c r="E74" t="s">
        <v>74</v>
      </c>
      <c r="F74" t="s">
        <v>1205</v>
      </c>
      <c r="G74" t="s">
        <v>74</v>
      </c>
      <c r="H74" t="s">
        <v>74</v>
      </c>
      <c r="I74" t="s">
        <v>1206</v>
      </c>
      <c r="J74" t="s">
        <v>1207</v>
      </c>
      <c r="K74" t="s">
        <v>74</v>
      </c>
      <c r="L74" t="s">
        <v>74</v>
      </c>
      <c r="M74" t="s">
        <v>77</v>
      </c>
      <c r="N74" t="s">
        <v>494</v>
      </c>
      <c r="O74" t="s">
        <v>74</v>
      </c>
      <c r="P74" t="s">
        <v>74</v>
      </c>
      <c r="Q74" t="s">
        <v>74</v>
      </c>
      <c r="R74" t="s">
        <v>74</v>
      </c>
      <c r="S74" t="s">
        <v>74</v>
      </c>
      <c r="T74" t="s">
        <v>1208</v>
      </c>
      <c r="U74" t="s">
        <v>1209</v>
      </c>
      <c r="V74" t="s">
        <v>1210</v>
      </c>
      <c r="W74" t="s">
        <v>1211</v>
      </c>
      <c r="X74" t="s">
        <v>1212</v>
      </c>
      <c r="Y74" t="s">
        <v>1213</v>
      </c>
      <c r="Z74" t="s">
        <v>1214</v>
      </c>
      <c r="AA74" t="s">
        <v>74</v>
      </c>
      <c r="AB74" t="s">
        <v>74</v>
      </c>
      <c r="AC74" t="s">
        <v>74</v>
      </c>
      <c r="AD74" t="s">
        <v>74</v>
      </c>
      <c r="AE74" t="s">
        <v>74</v>
      </c>
      <c r="AF74" t="s">
        <v>74</v>
      </c>
      <c r="AG74">
        <v>70</v>
      </c>
      <c r="AH74">
        <v>12</v>
      </c>
      <c r="AI74">
        <v>13</v>
      </c>
      <c r="AJ74">
        <v>0</v>
      </c>
      <c r="AK74">
        <v>4</v>
      </c>
      <c r="AL74" t="s">
        <v>1215</v>
      </c>
      <c r="AM74" t="s">
        <v>1216</v>
      </c>
      <c r="AN74" t="s">
        <v>1217</v>
      </c>
      <c r="AO74" t="s">
        <v>1218</v>
      </c>
      <c r="AP74" t="s">
        <v>1219</v>
      </c>
      <c r="AQ74" t="s">
        <v>74</v>
      </c>
      <c r="AR74" t="s">
        <v>1220</v>
      </c>
      <c r="AS74" t="s">
        <v>1221</v>
      </c>
      <c r="AT74" t="s">
        <v>1222</v>
      </c>
      <c r="AU74">
        <v>1998</v>
      </c>
      <c r="AV74">
        <v>37</v>
      </c>
      <c r="AW74">
        <v>1</v>
      </c>
      <c r="AX74" t="s">
        <v>74</v>
      </c>
      <c r="AY74" t="s">
        <v>74</v>
      </c>
      <c r="AZ74" t="s">
        <v>74</v>
      </c>
      <c r="BA74" t="s">
        <v>74</v>
      </c>
      <c r="BB74">
        <v>5</v>
      </c>
      <c r="BC74">
        <v>15</v>
      </c>
      <c r="BD74" t="s">
        <v>74</v>
      </c>
      <c r="BE74" t="s">
        <v>74</v>
      </c>
      <c r="BF74" t="s">
        <v>74</v>
      </c>
      <c r="BG74" t="s">
        <v>74</v>
      </c>
      <c r="BH74" t="s">
        <v>74</v>
      </c>
      <c r="BI74">
        <v>11</v>
      </c>
      <c r="BJ74" t="s">
        <v>1223</v>
      </c>
      <c r="BK74" t="s">
        <v>98</v>
      </c>
      <c r="BL74" t="s">
        <v>1223</v>
      </c>
      <c r="BM74" t="s">
        <v>1224</v>
      </c>
      <c r="BN74" t="s">
        <v>74</v>
      </c>
      <c r="BO74" t="s">
        <v>74</v>
      </c>
      <c r="BP74" t="s">
        <v>74</v>
      </c>
      <c r="BQ74" t="s">
        <v>74</v>
      </c>
      <c r="BR74" t="s">
        <v>101</v>
      </c>
      <c r="BS74" t="s">
        <v>1225</v>
      </c>
      <c r="BT74" t="str">
        <f>HYPERLINK("https%3A%2F%2Fwww.webofscience.com%2Fwos%2Fwoscc%2Ffull-record%2FWOS:000072715000002","View Full Record in Web of Science")</f>
        <v>View Full Record in Web of Science</v>
      </c>
    </row>
    <row r="75" spans="1:72" x14ac:dyDescent="0.15">
      <c r="A75" t="s">
        <v>72</v>
      </c>
      <c r="B75" t="s">
        <v>1226</v>
      </c>
      <c r="C75" t="s">
        <v>74</v>
      </c>
      <c r="D75" t="s">
        <v>74</v>
      </c>
      <c r="E75" t="s">
        <v>74</v>
      </c>
      <c r="F75" t="s">
        <v>1226</v>
      </c>
      <c r="G75" t="s">
        <v>74</v>
      </c>
      <c r="H75" t="s">
        <v>74</v>
      </c>
      <c r="I75" t="s">
        <v>1227</v>
      </c>
      <c r="J75" t="s">
        <v>1228</v>
      </c>
      <c r="K75" t="s">
        <v>74</v>
      </c>
      <c r="L75" t="s">
        <v>74</v>
      </c>
      <c r="M75" t="s">
        <v>77</v>
      </c>
      <c r="N75" t="s">
        <v>78</v>
      </c>
      <c r="O75" t="s">
        <v>74</v>
      </c>
      <c r="P75" t="s">
        <v>74</v>
      </c>
      <c r="Q75" t="s">
        <v>74</v>
      </c>
      <c r="R75" t="s">
        <v>74</v>
      </c>
      <c r="S75" t="s">
        <v>74</v>
      </c>
      <c r="T75" t="s">
        <v>1229</v>
      </c>
      <c r="U75" t="s">
        <v>1230</v>
      </c>
      <c r="V75" t="s">
        <v>1231</v>
      </c>
      <c r="W75" t="s">
        <v>1232</v>
      </c>
      <c r="X75" t="s">
        <v>1233</v>
      </c>
      <c r="Y75" t="s">
        <v>1234</v>
      </c>
      <c r="Z75" t="s">
        <v>1235</v>
      </c>
      <c r="AA75" t="s">
        <v>1236</v>
      </c>
      <c r="AB75" t="s">
        <v>1237</v>
      </c>
      <c r="AC75" t="s">
        <v>74</v>
      </c>
      <c r="AD75" t="s">
        <v>74</v>
      </c>
      <c r="AE75" t="s">
        <v>74</v>
      </c>
      <c r="AF75" t="s">
        <v>74</v>
      </c>
      <c r="AG75">
        <v>71</v>
      </c>
      <c r="AH75">
        <v>89</v>
      </c>
      <c r="AI75">
        <v>89</v>
      </c>
      <c r="AJ75">
        <v>0</v>
      </c>
      <c r="AK75">
        <v>3</v>
      </c>
      <c r="AL75" t="s">
        <v>897</v>
      </c>
      <c r="AM75" t="s">
        <v>244</v>
      </c>
      <c r="AN75" t="s">
        <v>898</v>
      </c>
      <c r="AO75" t="s">
        <v>1238</v>
      </c>
      <c r="AP75" t="s">
        <v>74</v>
      </c>
      <c r="AQ75" t="s">
        <v>74</v>
      </c>
      <c r="AR75" t="s">
        <v>1239</v>
      </c>
      <c r="AS75" t="s">
        <v>1240</v>
      </c>
      <c r="AT75" t="s">
        <v>1222</v>
      </c>
      <c r="AU75">
        <v>1998</v>
      </c>
      <c r="AV75">
        <v>16</v>
      </c>
      <c r="AW75">
        <v>2</v>
      </c>
      <c r="AX75" t="s">
        <v>74</v>
      </c>
      <c r="AY75" t="s">
        <v>74</v>
      </c>
      <c r="AZ75" t="s">
        <v>74</v>
      </c>
      <c r="BA75" t="s">
        <v>74</v>
      </c>
      <c r="BB75">
        <v>205</v>
      </c>
      <c r="BC75">
        <v>228</v>
      </c>
      <c r="BD75" t="s">
        <v>74</v>
      </c>
      <c r="BE75" t="s">
        <v>1241</v>
      </c>
      <c r="BF75" t="str">
        <f>HYPERLINK("http://dx.doi.org/10.1007/s00585-998-0205-8","http://dx.doi.org/10.1007/s00585-998-0205-8")</f>
        <v>http://dx.doi.org/10.1007/s00585-998-0205-8</v>
      </c>
      <c r="BG75" t="s">
        <v>74</v>
      </c>
      <c r="BH75" t="s">
        <v>74</v>
      </c>
      <c r="BI75">
        <v>24</v>
      </c>
      <c r="BJ75" t="s">
        <v>1242</v>
      </c>
      <c r="BK75" t="s">
        <v>98</v>
      </c>
      <c r="BL75" t="s">
        <v>1243</v>
      </c>
      <c r="BM75" t="s">
        <v>1244</v>
      </c>
      <c r="BN75" t="s">
        <v>74</v>
      </c>
      <c r="BO75" t="s">
        <v>1245</v>
      </c>
      <c r="BP75" t="s">
        <v>74</v>
      </c>
      <c r="BQ75" t="s">
        <v>74</v>
      </c>
      <c r="BR75" t="s">
        <v>101</v>
      </c>
      <c r="BS75" t="s">
        <v>1246</v>
      </c>
      <c r="BT75" t="str">
        <f>HYPERLINK("https%3A%2F%2Fwww.webofscience.com%2Fwos%2Fwoscc%2Ffull-record%2FWOS:000072444800011","View Full Record in Web of Science")</f>
        <v>View Full Record in Web of Science</v>
      </c>
    </row>
    <row r="76" spans="1:72" x14ac:dyDescent="0.15">
      <c r="A76" t="s">
        <v>72</v>
      </c>
      <c r="B76" t="s">
        <v>1247</v>
      </c>
      <c r="C76" t="s">
        <v>74</v>
      </c>
      <c r="D76" t="s">
        <v>74</v>
      </c>
      <c r="E76" t="s">
        <v>74</v>
      </c>
      <c r="F76" t="s">
        <v>1247</v>
      </c>
      <c r="G76" t="s">
        <v>74</v>
      </c>
      <c r="H76" t="s">
        <v>74</v>
      </c>
      <c r="I76" t="s">
        <v>1248</v>
      </c>
      <c r="J76" t="s">
        <v>1228</v>
      </c>
      <c r="K76" t="s">
        <v>74</v>
      </c>
      <c r="L76" t="s">
        <v>74</v>
      </c>
      <c r="M76" t="s">
        <v>77</v>
      </c>
      <c r="N76" t="s">
        <v>1249</v>
      </c>
      <c r="O76" t="s">
        <v>74</v>
      </c>
      <c r="P76" t="s">
        <v>74</v>
      </c>
      <c r="Q76" t="s">
        <v>74</v>
      </c>
      <c r="R76" t="s">
        <v>74</v>
      </c>
      <c r="S76" t="s">
        <v>74</v>
      </c>
      <c r="T76" t="s">
        <v>1250</v>
      </c>
      <c r="U76" t="s">
        <v>1251</v>
      </c>
      <c r="V76" t="s">
        <v>1252</v>
      </c>
      <c r="W76" t="s">
        <v>1253</v>
      </c>
      <c r="X76" t="s">
        <v>1254</v>
      </c>
      <c r="Y76" t="s">
        <v>1255</v>
      </c>
      <c r="Z76" t="s">
        <v>74</v>
      </c>
      <c r="AA76" t="s">
        <v>1256</v>
      </c>
      <c r="AB76" t="s">
        <v>1257</v>
      </c>
      <c r="AC76" t="s">
        <v>74</v>
      </c>
      <c r="AD76" t="s">
        <v>74</v>
      </c>
      <c r="AE76" t="s">
        <v>74</v>
      </c>
      <c r="AF76" t="s">
        <v>74</v>
      </c>
      <c r="AG76">
        <v>6</v>
      </c>
      <c r="AH76">
        <v>5</v>
      </c>
      <c r="AI76">
        <v>6</v>
      </c>
      <c r="AJ76">
        <v>3</v>
      </c>
      <c r="AK76">
        <v>4</v>
      </c>
      <c r="AL76" t="s">
        <v>897</v>
      </c>
      <c r="AM76" t="s">
        <v>244</v>
      </c>
      <c r="AN76" t="s">
        <v>898</v>
      </c>
      <c r="AO76" t="s">
        <v>1238</v>
      </c>
      <c r="AP76" t="s">
        <v>74</v>
      </c>
      <c r="AQ76" t="s">
        <v>74</v>
      </c>
      <c r="AR76" t="s">
        <v>1239</v>
      </c>
      <c r="AS76" t="s">
        <v>1240</v>
      </c>
      <c r="AT76" t="s">
        <v>1222</v>
      </c>
      <c r="AU76">
        <v>1998</v>
      </c>
      <c r="AV76">
        <v>16</v>
      </c>
      <c r="AW76">
        <v>2</v>
      </c>
      <c r="AX76" t="s">
        <v>74</v>
      </c>
      <c r="AY76" t="s">
        <v>74</v>
      </c>
      <c r="AZ76" t="s">
        <v>74</v>
      </c>
      <c r="BA76" t="s">
        <v>74</v>
      </c>
      <c r="BB76">
        <v>280</v>
      </c>
      <c r="BC76">
        <v>282</v>
      </c>
      <c r="BD76" t="s">
        <v>74</v>
      </c>
      <c r="BE76" t="s">
        <v>74</v>
      </c>
      <c r="BF76" t="s">
        <v>74</v>
      </c>
      <c r="BG76" t="s">
        <v>74</v>
      </c>
      <c r="BH76" t="s">
        <v>74</v>
      </c>
      <c r="BI76">
        <v>3</v>
      </c>
      <c r="BJ76" t="s">
        <v>1242</v>
      </c>
      <c r="BK76" t="s">
        <v>98</v>
      </c>
      <c r="BL76" t="s">
        <v>1243</v>
      </c>
      <c r="BM76" t="s">
        <v>1244</v>
      </c>
      <c r="BN76" t="s">
        <v>74</v>
      </c>
      <c r="BO76" t="s">
        <v>74</v>
      </c>
      <c r="BP76" t="s">
        <v>74</v>
      </c>
      <c r="BQ76" t="s">
        <v>74</v>
      </c>
      <c r="BR76" t="s">
        <v>101</v>
      </c>
      <c r="BS76" t="s">
        <v>1258</v>
      </c>
      <c r="BT76" t="str">
        <f>HYPERLINK("https%3A%2F%2Fwww.webofscience.com%2Fwos%2Fwoscc%2Ffull-record%2FWOS:000072444800017","View Full Record in Web of Science")</f>
        <v>View Full Record in Web of Science</v>
      </c>
    </row>
    <row r="77" spans="1:72" x14ac:dyDescent="0.15">
      <c r="A77" t="s">
        <v>72</v>
      </c>
      <c r="B77" t="s">
        <v>1259</v>
      </c>
      <c r="C77" t="s">
        <v>74</v>
      </c>
      <c r="D77" t="s">
        <v>74</v>
      </c>
      <c r="E77" t="s">
        <v>74</v>
      </c>
      <c r="F77" t="s">
        <v>1259</v>
      </c>
      <c r="G77" t="s">
        <v>74</v>
      </c>
      <c r="H77" t="s">
        <v>74</v>
      </c>
      <c r="I77" t="s">
        <v>1260</v>
      </c>
      <c r="J77" t="s">
        <v>353</v>
      </c>
      <c r="K77" t="s">
        <v>74</v>
      </c>
      <c r="L77" t="s">
        <v>74</v>
      </c>
      <c r="M77" t="s">
        <v>77</v>
      </c>
      <c r="N77" t="s">
        <v>78</v>
      </c>
      <c r="O77" t="s">
        <v>74</v>
      </c>
      <c r="P77" t="s">
        <v>74</v>
      </c>
      <c r="Q77" t="s">
        <v>74</v>
      </c>
      <c r="R77" t="s">
        <v>74</v>
      </c>
      <c r="S77" t="s">
        <v>74</v>
      </c>
      <c r="T77" t="s">
        <v>74</v>
      </c>
      <c r="U77" t="s">
        <v>1261</v>
      </c>
      <c r="V77" t="s">
        <v>1262</v>
      </c>
      <c r="W77" t="s">
        <v>1263</v>
      </c>
      <c r="X77" t="s">
        <v>1264</v>
      </c>
      <c r="Y77" t="s">
        <v>1265</v>
      </c>
      <c r="Z77" t="s">
        <v>1266</v>
      </c>
      <c r="AA77" t="s">
        <v>1267</v>
      </c>
      <c r="AB77" t="s">
        <v>74</v>
      </c>
      <c r="AC77" t="s">
        <v>74</v>
      </c>
      <c r="AD77" t="s">
        <v>74</v>
      </c>
      <c r="AE77" t="s">
        <v>74</v>
      </c>
      <c r="AF77" t="s">
        <v>74</v>
      </c>
      <c r="AG77">
        <v>44</v>
      </c>
      <c r="AH77">
        <v>217</v>
      </c>
      <c r="AI77">
        <v>248</v>
      </c>
      <c r="AJ77">
        <v>1</v>
      </c>
      <c r="AK77">
        <v>22</v>
      </c>
      <c r="AL77" t="s">
        <v>360</v>
      </c>
      <c r="AM77" t="s">
        <v>88</v>
      </c>
      <c r="AN77" t="s">
        <v>361</v>
      </c>
      <c r="AO77" t="s">
        <v>362</v>
      </c>
      <c r="AP77" t="s">
        <v>363</v>
      </c>
      <c r="AQ77" t="s">
        <v>74</v>
      </c>
      <c r="AR77" t="s">
        <v>364</v>
      </c>
      <c r="AS77" t="s">
        <v>365</v>
      </c>
      <c r="AT77" t="s">
        <v>1222</v>
      </c>
      <c r="AU77">
        <v>1998</v>
      </c>
      <c r="AV77">
        <v>64</v>
      </c>
      <c r="AW77">
        <v>2</v>
      </c>
      <c r="AX77" t="s">
        <v>74</v>
      </c>
      <c r="AY77" t="s">
        <v>74</v>
      </c>
      <c r="AZ77" t="s">
        <v>74</v>
      </c>
      <c r="BA77" t="s">
        <v>74</v>
      </c>
      <c r="BB77">
        <v>486</v>
      </c>
      <c r="BC77">
        <v>491</v>
      </c>
      <c r="BD77" t="s">
        <v>74</v>
      </c>
      <c r="BE77" t="s">
        <v>74</v>
      </c>
      <c r="BF77" t="s">
        <v>74</v>
      </c>
      <c r="BG77" t="s">
        <v>74</v>
      </c>
      <c r="BH77" t="s">
        <v>74</v>
      </c>
      <c r="BI77">
        <v>6</v>
      </c>
      <c r="BJ77" t="s">
        <v>366</v>
      </c>
      <c r="BK77" t="s">
        <v>98</v>
      </c>
      <c r="BL77" t="s">
        <v>366</v>
      </c>
      <c r="BM77" t="s">
        <v>1268</v>
      </c>
      <c r="BN77">
        <v>9464382</v>
      </c>
      <c r="BO77" t="s">
        <v>74</v>
      </c>
      <c r="BP77" t="s">
        <v>74</v>
      </c>
      <c r="BQ77" t="s">
        <v>74</v>
      </c>
      <c r="BR77" t="s">
        <v>101</v>
      </c>
      <c r="BS77" t="s">
        <v>1269</v>
      </c>
      <c r="BT77" t="str">
        <f>HYPERLINK("https%3A%2F%2Fwww.webofscience.com%2Fwos%2Fwoscc%2Ffull-record%2FWOS:000071858600016","View Full Record in Web of Science")</f>
        <v>View Full Record in Web of Science</v>
      </c>
    </row>
    <row r="78" spans="1:72" x14ac:dyDescent="0.15">
      <c r="A78" t="s">
        <v>72</v>
      </c>
      <c r="B78" t="s">
        <v>1270</v>
      </c>
      <c r="C78" t="s">
        <v>74</v>
      </c>
      <c r="D78" t="s">
        <v>74</v>
      </c>
      <c r="E78" t="s">
        <v>74</v>
      </c>
      <c r="F78" t="s">
        <v>1270</v>
      </c>
      <c r="G78" t="s">
        <v>74</v>
      </c>
      <c r="H78" t="s">
        <v>74</v>
      </c>
      <c r="I78" t="s">
        <v>1271</v>
      </c>
      <c r="J78" t="s">
        <v>1272</v>
      </c>
      <c r="K78" t="s">
        <v>74</v>
      </c>
      <c r="L78" t="s">
        <v>74</v>
      </c>
      <c r="M78" t="s">
        <v>77</v>
      </c>
      <c r="N78" t="s">
        <v>78</v>
      </c>
      <c r="O78" t="s">
        <v>74</v>
      </c>
      <c r="P78" t="s">
        <v>74</v>
      </c>
      <c r="Q78" t="s">
        <v>74</v>
      </c>
      <c r="R78" t="s">
        <v>74</v>
      </c>
      <c r="S78" t="s">
        <v>74</v>
      </c>
      <c r="T78" t="s">
        <v>74</v>
      </c>
      <c r="U78" t="s">
        <v>1273</v>
      </c>
      <c r="V78" t="s">
        <v>1274</v>
      </c>
      <c r="W78" t="s">
        <v>1275</v>
      </c>
      <c r="X78" t="s">
        <v>1276</v>
      </c>
      <c r="Y78" t="s">
        <v>1277</v>
      </c>
      <c r="Z78" t="s">
        <v>74</v>
      </c>
      <c r="AA78" t="s">
        <v>74</v>
      </c>
      <c r="AB78" t="s">
        <v>74</v>
      </c>
      <c r="AC78" t="s">
        <v>74</v>
      </c>
      <c r="AD78" t="s">
        <v>74</v>
      </c>
      <c r="AE78" t="s">
        <v>74</v>
      </c>
      <c r="AF78" t="s">
        <v>74</v>
      </c>
      <c r="AG78">
        <v>18</v>
      </c>
      <c r="AH78">
        <v>109</v>
      </c>
      <c r="AI78">
        <v>117</v>
      </c>
      <c r="AJ78">
        <v>1</v>
      </c>
      <c r="AK78">
        <v>18</v>
      </c>
      <c r="AL78" t="s">
        <v>897</v>
      </c>
      <c r="AM78" t="s">
        <v>244</v>
      </c>
      <c r="AN78" t="s">
        <v>898</v>
      </c>
      <c r="AO78" t="s">
        <v>1278</v>
      </c>
      <c r="AP78" t="s">
        <v>74</v>
      </c>
      <c r="AQ78" t="s">
        <v>74</v>
      </c>
      <c r="AR78" t="s">
        <v>1279</v>
      </c>
      <c r="AS78" t="s">
        <v>1280</v>
      </c>
      <c r="AT78" t="s">
        <v>1222</v>
      </c>
      <c r="AU78">
        <v>1998</v>
      </c>
      <c r="AV78">
        <v>49</v>
      </c>
      <c r="AW78">
        <v>2</v>
      </c>
      <c r="AX78" t="s">
        <v>74</v>
      </c>
      <c r="AY78" t="s">
        <v>74</v>
      </c>
      <c r="AZ78" t="s">
        <v>74</v>
      </c>
      <c r="BA78" t="s">
        <v>74</v>
      </c>
      <c r="BB78">
        <v>210</v>
      </c>
      <c r="BC78">
        <v>214</v>
      </c>
      <c r="BD78" t="s">
        <v>74</v>
      </c>
      <c r="BE78" t="s">
        <v>1281</v>
      </c>
      <c r="BF78" t="str">
        <f>HYPERLINK("http://dx.doi.org/10.1007/s002530051160","http://dx.doi.org/10.1007/s002530051160")</f>
        <v>http://dx.doi.org/10.1007/s002530051160</v>
      </c>
      <c r="BG78" t="s">
        <v>74</v>
      </c>
      <c r="BH78" t="s">
        <v>74</v>
      </c>
      <c r="BI78">
        <v>5</v>
      </c>
      <c r="BJ78" t="s">
        <v>1282</v>
      </c>
      <c r="BK78" t="s">
        <v>98</v>
      </c>
      <c r="BL78" t="s">
        <v>1282</v>
      </c>
      <c r="BM78" t="s">
        <v>1283</v>
      </c>
      <c r="BN78" t="s">
        <v>74</v>
      </c>
      <c r="BO78" t="s">
        <v>74</v>
      </c>
      <c r="BP78" t="s">
        <v>74</v>
      </c>
      <c r="BQ78" t="s">
        <v>74</v>
      </c>
      <c r="BR78" t="s">
        <v>101</v>
      </c>
      <c r="BS78" t="s">
        <v>1284</v>
      </c>
      <c r="BT78" t="str">
        <f>HYPERLINK("https%3A%2F%2Fwww.webofscience.com%2Fwos%2Fwoscc%2Ffull-record%2FWOS:000072427700013","View Full Record in Web of Science")</f>
        <v>View Full Record in Web of Science</v>
      </c>
    </row>
    <row r="79" spans="1:72" x14ac:dyDescent="0.15">
      <c r="A79" t="s">
        <v>72</v>
      </c>
      <c r="B79" t="s">
        <v>1285</v>
      </c>
      <c r="C79" t="s">
        <v>74</v>
      </c>
      <c r="D79" t="s">
        <v>74</v>
      </c>
      <c r="E79" t="s">
        <v>74</v>
      </c>
      <c r="F79" t="s">
        <v>1285</v>
      </c>
      <c r="G79" t="s">
        <v>74</v>
      </c>
      <c r="H79" t="s">
        <v>74</v>
      </c>
      <c r="I79" t="s">
        <v>1286</v>
      </c>
      <c r="J79" t="s">
        <v>1287</v>
      </c>
      <c r="K79" t="s">
        <v>74</v>
      </c>
      <c r="L79" t="s">
        <v>74</v>
      </c>
      <c r="M79" t="s">
        <v>77</v>
      </c>
      <c r="N79" t="s">
        <v>78</v>
      </c>
      <c r="O79" t="s">
        <v>74</v>
      </c>
      <c r="P79" t="s">
        <v>74</v>
      </c>
      <c r="Q79" t="s">
        <v>74</v>
      </c>
      <c r="R79" t="s">
        <v>74</v>
      </c>
      <c r="S79" t="s">
        <v>74</v>
      </c>
      <c r="T79" t="s">
        <v>1288</v>
      </c>
      <c r="U79" t="s">
        <v>1289</v>
      </c>
      <c r="V79" t="s">
        <v>1290</v>
      </c>
      <c r="W79" t="s">
        <v>1291</v>
      </c>
      <c r="X79" t="s">
        <v>1292</v>
      </c>
      <c r="Y79" t="s">
        <v>1293</v>
      </c>
      <c r="Z79" t="s">
        <v>74</v>
      </c>
      <c r="AA79" t="s">
        <v>74</v>
      </c>
      <c r="AB79" t="s">
        <v>1294</v>
      </c>
      <c r="AC79" t="s">
        <v>74</v>
      </c>
      <c r="AD79" t="s">
        <v>74</v>
      </c>
      <c r="AE79" t="s">
        <v>74</v>
      </c>
      <c r="AF79" t="s">
        <v>74</v>
      </c>
      <c r="AG79">
        <v>42</v>
      </c>
      <c r="AH79">
        <v>9</v>
      </c>
      <c r="AI79">
        <v>10</v>
      </c>
      <c r="AJ79">
        <v>0</v>
      </c>
      <c r="AK79">
        <v>15</v>
      </c>
      <c r="AL79" t="s">
        <v>1029</v>
      </c>
      <c r="AM79" t="s">
        <v>1030</v>
      </c>
      <c r="AN79" t="s">
        <v>1031</v>
      </c>
      <c r="AO79" t="s">
        <v>1295</v>
      </c>
      <c r="AP79" t="s">
        <v>74</v>
      </c>
      <c r="AQ79" t="s">
        <v>74</v>
      </c>
      <c r="AR79" t="s">
        <v>1296</v>
      </c>
      <c r="AS79" t="s">
        <v>1297</v>
      </c>
      <c r="AT79" t="s">
        <v>1222</v>
      </c>
      <c r="AU79">
        <v>1998</v>
      </c>
      <c r="AV79">
        <v>60</v>
      </c>
      <c r="AW79">
        <v>2</v>
      </c>
      <c r="AX79" t="s">
        <v>74</v>
      </c>
      <c r="AY79" t="s">
        <v>74</v>
      </c>
      <c r="AZ79" t="s">
        <v>74</v>
      </c>
      <c r="BA79" t="s">
        <v>74</v>
      </c>
      <c r="BB79">
        <v>105</v>
      </c>
      <c r="BC79">
        <v>118</v>
      </c>
      <c r="BD79" t="s">
        <v>74</v>
      </c>
      <c r="BE79" t="s">
        <v>1298</v>
      </c>
      <c r="BF79" t="str">
        <f>HYPERLINK("http://dx.doi.org/10.1016/S0304-3770(97)00097-1","http://dx.doi.org/10.1016/S0304-3770(97)00097-1")</f>
        <v>http://dx.doi.org/10.1016/S0304-3770(97)00097-1</v>
      </c>
      <c r="BG79" t="s">
        <v>74</v>
      </c>
      <c r="BH79" t="s">
        <v>74</v>
      </c>
      <c r="BI79">
        <v>14</v>
      </c>
      <c r="BJ79" t="s">
        <v>1299</v>
      </c>
      <c r="BK79" t="s">
        <v>98</v>
      </c>
      <c r="BL79" t="s">
        <v>1299</v>
      </c>
      <c r="BM79" t="s">
        <v>1300</v>
      </c>
      <c r="BN79" t="s">
        <v>74</v>
      </c>
      <c r="BO79" t="s">
        <v>74</v>
      </c>
      <c r="BP79" t="s">
        <v>74</v>
      </c>
      <c r="BQ79" t="s">
        <v>74</v>
      </c>
      <c r="BR79" t="s">
        <v>101</v>
      </c>
      <c r="BS79" t="s">
        <v>1301</v>
      </c>
      <c r="BT79" t="str">
        <f>HYPERLINK("https%3A%2F%2Fwww.webofscience.com%2Fwos%2Fwoscc%2Ffull-record%2FWOS:000073045900001","View Full Record in Web of Science")</f>
        <v>View Full Record in Web of Science</v>
      </c>
    </row>
    <row r="80" spans="1:72" x14ac:dyDescent="0.15">
      <c r="A80" t="s">
        <v>72</v>
      </c>
      <c r="B80" t="s">
        <v>1302</v>
      </c>
      <c r="C80" t="s">
        <v>74</v>
      </c>
      <c r="D80" t="s">
        <v>74</v>
      </c>
      <c r="E80" t="s">
        <v>74</v>
      </c>
      <c r="F80" t="s">
        <v>1302</v>
      </c>
      <c r="G80" t="s">
        <v>74</v>
      </c>
      <c r="H80" t="s">
        <v>74</v>
      </c>
      <c r="I80" t="s">
        <v>1303</v>
      </c>
      <c r="J80" t="s">
        <v>1304</v>
      </c>
      <c r="K80" t="s">
        <v>74</v>
      </c>
      <c r="L80" t="s">
        <v>74</v>
      </c>
      <c r="M80" t="s">
        <v>77</v>
      </c>
      <c r="N80" t="s">
        <v>78</v>
      </c>
      <c r="O80" t="s">
        <v>74</v>
      </c>
      <c r="P80" t="s">
        <v>74</v>
      </c>
      <c r="Q80" t="s">
        <v>74</v>
      </c>
      <c r="R80" t="s">
        <v>74</v>
      </c>
      <c r="S80" t="s">
        <v>74</v>
      </c>
      <c r="T80" t="s">
        <v>1305</v>
      </c>
      <c r="U80" t="s">
        <v>1306</v>
      </c>
      <c r="V80" t="s">
        <v>1307</v>
      </c>
      <c r="W80" t="s">
        <v>1308</v>
      </c>
      <c r="X80" t="s">
        <v>1309</v>
      </c>
      <c r="Y80" t="s">
        <v>1310</v>
      </c>
      <c r="Z80" t="s">
        <v>1311</v>
      </c>
      <c r="AA80" t="s">
        <v>1312</v>
      </c>
      <c r="AB80" t="s">
        <v>1313</v>
      </c>
      <c r="AC80" t="s">
        <v>74</v>
      </c>
      <c r="AD80" t="s">
        <v>74</v>
      </c>
      <c r="AE80" t="s">
        <v>74</v>
      </c>
      <c r="AF80" t="s">
        <v>74</v>
      </c>
      <c r="AG80">
        <v>63</v>
      </c>
      <c r="AH80">
        <v>170</v>
      </c>
      <c r="AI80">
        <v>180</v>
      </c>
      <c r="AJ80">
        <v>0</v>
      </c>
      <c r="AK80">
        <v>18</v>
      </c>
      <c r="AL80" t="s">
        <v>1029</v>
      </c>
      <c r="AM80" t="s">
        <v>1030</v>
      </c>
      <c r="AN80" t="s">
        <v>1031</v>
      </c>
      <c r="AO80" t="s">
        <v>1314</v>
      </c>
      <c r="AP80" t="s">
        <v>1315</v>
      </c>
      <c r="AQ80" t="s">
        <v>74</v>
      </c>
      <c r="AR80" t="s">
        <v>1316</v>
      </c>
      <c r="AS80" t="s">
        <v>1317</v>
      </c>
      <c r="AT80" t="s">
        <v>1222</v>
      </c>
      <c r="AU80">
        <v>1998</v>
      </c>
      <c r="AV80">
        <v>40</v>
      </c>
      <c r="AW80">
        <v>4</v>
      </c>
      <c r="AX80" t="s">
        <v>74</v>
      </c>
      <c r="AY80" t="s">
        <v>74</v>
      </c>
      <c r="AZ80" t="s">
        <v>74</v>
      </c>
      <c r="BA80" t="s">
        <v>74</v>
      </c>
      <c r="BB80">
        <v>375</v>
      </c>
      <c r="BC80">
        <v>392</v>
      </c>
      <c r="BD80" t="s">
        <v>74</v>
      </c>
      <c r="BE80" t="s">
        <v>1318</v>
      </c>
      <c r="BF80" t="str">
        <f>HYPERLINK("http://dx.doi.org/10.1016/S0166-445X(97)00059-3","http://dx.doi.org/10.1016/S0166-445X(97)00059-3")</f>
        <v>http://dx.doi.org/10.1016/S0166-445X(97)00059-3</v>
      </c>
      <c r="BG80" t="s">
        <v>74</v>
      </c>
      <c r="BH80" t="s">
        <v>74</v>
      </c>
      <c r="BI80">
        <v>18</v>
      </c>
      <c r="BJ80" t="s">
        <v>1319</v>
      </c>
      <c r="BK80" t="s">
        <v>98</v>
      </c>
      <c r="BL80" t="s">
        <v>1319</v>
      </c>
      <c r="BM80" t="s">
        <v>1320</v>
      </c>
      <c r="BN80" t="s">
        <v>74</v>
      </c>
      <c r="BO80" t="s">
        <v>74</v>
      </c>
      <c r="BP80" t="s">
        <v>74</v>
      </c>
      <c r="BQ80" t="s">
        <v>74</v>
      </c>
      <c r="BR80" t="s">
        <v>101</v>
      </c>
      <c r="BS80" t="s">
        <v>1321</v>
      </c>
      <c r="BT80" t="str">
        <f>HYPERLINK("https%3A%2F%2Fwww.webofscience.com%2Fwos%2Fwoscc%2Ffull-record%2FWOS:000072697500005","View Full Record in Web of Science")</f>
        <v>View Full Record in Web of Science</v>
      </c>
    </row>
    <row r="81" spans="1:72" x14ac:dyDescent="0.15">
      <c r="A81" t="s">
        <v>72</v>
      </c>
      <c r="B81" t="s">
        <v>1322</v>
      </c>
      <c r="C81" t="s">
        <v>74</v>
      </c>
      <c r="D81" t="s">
        <v>74</v>
      </c>
      <c r="E81" t="s">
        <v>74</v>
      </c>
      <c r="F81" t="s">
        <v>1322</v>
      </c>
      <c r="G81" t="s">
        <v>74</v>
      </c>
      <c r="H81" t="s">
        <v>74</v>
      </c>
      <c r="I81" t="s">
        <v>1323</v>
      </c>
      <c r="J81" t="s">
        <v>378</v>
      </c>
      <c r="K81" t="s">
        <v>74</v>
      </c>
      <c r="L81" t="s">
        <v>74</v>
      </c>
      <c r="M81" t="s">
        <v>77</v>
      </c>
      <c r="N81" t="s">
        <v>78</v>
      </c>
      <c r="O81" t="s">
        <v>74</v>
      </c>
      <c r="P81" t="s">
        <v>74</v>
      </c>
      <c r="Q81" t="s">
        <v>74</v>
      </c>
      <c r="R81" t="s">
        <v>74</v>
      </c>
      <c r="S81" t="s">
        <v>74</v>
      </c>
      <c r="T81" t="s">
        <v>1324</v>
      </c>
      <c r="U81" t="s">
        <v>1325</v>
      </c>
      <c r="V81" t="s">
        <v>1326</v>
      </c>
      <c r="W81" t="s">
        <v>1327</v>
      </c>
      <c r="X81" t="s">
        <v>1328</v>
      </c>
      <c r="Y81" t="s">
        <v>1329</v>
      </c>
      <c r="Z81" t="s">
        <v>74</v>
      </c>
      <c r="AA81" t="s">
        <v>74</v>
      </c>
      <c r="AB81" t="s">
        <v>74</v>
      </c>
      <c r="AC81" t="s">
        <v>74</v>
      </c>
      <c r="AD81" t="s">
        <v>74</v>
      </c>
      <c r="AE81" t="s">
        <v>74</v>
      </c>
      <c r="AF81" t="s">
        <v>74</v>
      </c>
      <c r="AG81">
        <v>33</v>
      </c>
      <c r="AH81">
        <v>5</v>
      </c>
      <c r="AI81">
        <v>5</v>
      </c>
      <c r="AJ81">
        <v>0</v>
      </c>
      <c r="AK81">
        <v>3</v>
      </c>
      <c r="AL81" t="s">
        <v>389</v>
      </c>
      <c r="AM81" t="s">
        <v>390</v>
      </c>
      <c r="AN81" t="s">
        <v>391</v>
      </c>
      <c r="AO81" t="s">
        <v>392</v>
      </c>
      <c r="AP81" t="s">
        <v>74</v>
      </c>
      <c r="AQ81" t="s">
        <v>74</v>
      </c>
      <c r="AR81" t="s">
        <v>393</v>
      </c>
      <c r="AS81" t="s">
        <v>394</v>
      </c>
      <c r="AT81" t="s">
        <v>1222</v>
      </c>
      <c r="AU81">
        <v>1998</v>
      </c>
      <c r="AV81">
        <v>102</v>
      </c>
      <c r="AW81">
        <v>2</v>
      </c>
      <c r="AX81" t="s">
        <v>74</v>
      </c>
      <c r="AY81" t="s">
        <v>74</v>
      </c>
      <c r="AZ81" t="s">
        <v>74</v>
      </c>
      <c r="BA81" t="s">
        <v>74</v>
      </c>
      <c r="BB81">
        <v>244</v>
      </c>
      <c r="BC81">
        <v>248</v>
      </c>
      <c r="BD81" t="s">
        <v>74</v>
      </c>
      <c r="BE81" t="s">
        <v>1330</v>
      </c>
      <c r="BF81" t="str">
        <f>HYPERLINK("http://dx.doi.org/10.1002/bbpc.19981020216","http://dx.doi.org/10.1002/bbpc.19981020216")</f>
        <v>http://dx.doi.org/10.1002/bbpc.19981020216</v>
      </c>
      <c r="BG81" t="s">
        <v>74</v>
      </c>
      <c r="BH81" t="s">
        <v>74</v>
      </c>
      <c r="BI81">
        <v>5</v>
      </c>
      <c r="BJ81" t="s">
        <v>396</v>
      </c>
      <c r="BK81" t="s">
        <v>98</v>
      </c>
      <c r="BL81" t="s">
        <v>398</v>
      </c>
      <c r="BM81" t="s">
        <v>1331</v>
      </c>
      <c r="BN81" t="s">
        <v>74</v>
      </c>
      <c r="BO81" t="s">
        <v>74</v>
      </c>
      <c r="BP81" t="s">
        <v>74</v>
      </c>
      <c r="BQ81" t="s">
        <v>74</v>
      </c>
      <c r="BR81" t="s">
        <v>101</v>
      </c>
      <c r="BS81" t="s">
        <v>1332</v>
      </c>
      <c r="BT81" t="str">
        <f>HYPERLINK("https%3A%2F%2Fwww.webofscience.com%2Fwos%2Fwoscc%2Ffull-record%2FWOS:000072304400015","View Full Record in Web of Science")</f>
        <v>View Full Record in Web of Science</v>
      </c>
    </row>
    <row r="82" spans="1:72" x14ac:dyDescent="0.15">
      <c r="A82" t="s">
        <v>72</v>
      </c>
      <c r="B82" t="s">
        <v>1333</v>
      </c>
      <c r="C82" t="s">
        <v>74</v>
      </c>
      <c r="D82" t="s">
        <v>74</v>
      </c>
      <c r="E82" t="s">
        <v>74</v>
      </c>
      <c r="F82" t="s">
        <v>1333</v>
      </c>
      <c r="G82" t="s">
        <v>74</v>
      </c>
      <c r="H82" t="s">
        <v>74</v>
      </c>
      <c r="I82" t="s">
        <v>1334</v>
      </c>
      <c r="J82" t="s">
        <v>1335</v>
      </c>
      <c r="K82" t="s">
        <v>74</v>
      </c>
      <c r="L82" t="s">
        <v>74</v>
      </c>
      <c r="M82" t="s">
        <v>77</v>
      </c>
      <c r="N82" t="s">
        <v>78</v>
      </c>
      <c r="O82" t="s">
        <v>74</v>
      </c>
      <c r="P82" t="s">
        <v>74</v>
      </c>
      <c r="Q82" t="s">
        <v>74</v>
      </c>
      <c r="R82" t="s">
        <v>74</v>
      </c>
      <c r="S82" t="s">
        <v>74</v>
      </c>
      <c r="T82" t="s">
        <v>74</v>
      </c>
      <c r="U82" t="s">
        <v>1336</v>
      </c>
      <c r="V82" t="s">
        <v>1337</v>
      </c>
      <c r="W82" t="s">
        <v>758</v>
      </c>
      <c r="X82" t="s">
        <v>322</v>
      </c>
      <c r="Y82" t="s">
        <v>1338</v>
      </c>
      <c r="Z82" t="s">
        <v>1339</v>
      </c>
      <c r="AA82" t="s">
        <v>74</v>
      </c>
      <c r="AB82" t="s">
        <v>74</v>
      </c>
      <c r="AC82" t="s">
        <v>74</v>
      </c>
      <c r="AD82" t="s">
        <v>74</v>
      </c>
      <c r="AE82" t="s">
        <v>74</v>
      </c>
      <c r="AF82" t="s">
        <v>74</v>
      </c>
      <c r="AG82">
        <v>43</v>
      </c>
      <c r="AH82">
        <v>99</v>
      </c>
      <c r="AI82">
        <v>107</v>
      </c>
      <c r="AJ82">
        <v>0</v>
      </c>
      <c r="AK82">
        <v>18</v>
      </c>
      <c r="AL82" t="s">
        <v>1340</v>
      </c>
      <c r="AM82" t="s">
        <v>1341</v>
      </c>
      <c r="AN82" t="s">
        <v>1342</v>
      </c>
      <c r="AO82" t="s">
        <v>1343</v>
      </c>
      <c r="AP82" t="s">
        <v>1344</v>
      </c>
      <c r="AQ82" t="s">
        <v>74</v>
      </c>
      <c r="AR82" t="s">
        <v>1345</v>
      </c>
      <c r="AS82" t="s">
        <v>1346</v>
      </c>
      <c r="AT82" t="s">
        <v>1222</v>
      </c>
      <c r="AU82">
        <v>1998</v>
      </c>
      <c r="AV82">
        <v>194</v>
      </c>
      <c r="AW82">
        <v>1</v>
      </c>
      <c r="AX82" t="s">
        <v>74</v>
      </c>
      <c r="AY82" t="s">
        <v>74</v>
      </c>
      <c r="AZ82" t="s">
        <v>74</v>
      </c>
      <c r="BA82" t="s">
        <v>74</v>
      </c>
      <c r="BB82">
        <v>44</v>
      </c>
      <c r="BC82">
        <v>52</v>
      </c>
      <c r="BD82" t="s">
        <v>74</v>
      </c>
      <c r="BE82" t="s">
        <v>1347</v>
      </c>
      <c r="BF82" t="str">
        <f>HYPERLINK("http://dx.doi.org/10.2307/1542512","http://dx.doi.org/10.2307/1542512")</f>
        <v>http://dx.doi.org/10.2307/1542512</v>
      </c>
      <c r="BG82" t="s">
        <v>74</v>
      </c>
      <c r="BH82" t="s">
        <v>74</v>
      </c>
      <c r="BI82">
        <v>9</v>
      </c>
      <c r="BJ82" t="s">
        <v>1348</v>
      </c>
      <c r="BK82" t="s">
        <v>98</v>
      </c>
      <c r="BL82" t="s">
        <v>1349</v>
      </c>
      <c r="BM82" t="s">
        <v>1350</v>
      </c>
      <c r="BN82">
        <v>28574786</v>
      </c>
      <c r="BO82" t="s">
        <v>1351</v>
      </c>
      <c r="BP82" t="s">
        <v>74</v>
      </c>
      <c r="BQ82" t="s">
        <v>74</v>
      </c>
      <c r="BR82" t="s">
        <v>101</v>
      </c>
      <c r="BS82" t="s">
        <v>1352</v>
      </c>
      <c r="BT82" t="str">
        <f>HYPERLINK("https%3A%2F%2Fwww.webofscience.com%2Fwos%2Fwoscc%2Ffull-record%2FWOS:000072523000006","View Full Record in Web of Science")</f>
        <v>View Full Record in Web of Science</v>
      </c>
    </row>
    <row r="83" spans="1:72" x14ac:dyDescent="0.15">
      <c r="A83" t="s">
        <v>72</v>
      </c>
      <c r="B83" t="s">
        <v>1353</v>
      </c>
      <c r="C83" t="s">
        <v>74</v>
      </c>
      <c r="D83" t="s">
        <v>74</v>
      </c>
      <c r="E83" t="s">
        <v>74</v>
      </c>
      <c r="F83" t="s">
        <v>1353</v>
      </c>
      <c r="G83" t="s">
        <v>74</v>
      </c>
      <c r="H83" t="s">
        <v>74</v>
      </c>
      <c r="I83" t="s">
        <v>1354</v>
      </c>
      <c r="J83" t="s">
        <v>1355</v>
      </c>
      <c r="K83" t="s">
        <v>74</v>
      </c>
      <c r="L83" t="s">
        <v>74</v>
      </c>
      <c r="M83" t="s">
        <v>77</v>
      </c>
      <c r="N83" t="s">
        <v>78</v>
      </c>
      <c r="O83" t="s">
        <v>74</v>
      </c>
      <c r="P83" t="s">
        <v>74</v>
      </c>
      <c r="Q83" t="s">
        <v>74</v>
      </c>
      <c r="R83" t="s">
        <v>74</v>
      </c>
      <c r="S83" t="s">
        <v>74</v>
      </c>
      <c r="T83" t="s">
        <v>1356</v>
      </c>
      <c r="U83" t="s">
        <v>1357</v>
      </c>
      <c r="V83" t="s">
        <v>1358</v>
      </c>
      <c r="W83" t="s">
        <v>1359</v>
      </c>
      <c r="X83" t="s">
        <v>1360</v>
      </c>
      <c r="Y83" t="s">
        <v>1361</v>
      </c>
      <c r="Z83" t="s">
        <v>74</v>
      </c>
      <c r="AA83" t="s">
        <v>74</v>
      </c>
      <c r="AB83" t="s">
        <v>1362</v>
      </c>
      <c r="AC83" t="s">
        <v>74</v>
      </c>
      <c r="AD83" t="s">
        <v>74</v>
      </c>
      <c r="AE83" t="s">
        <v>74</v>
      </c>
      <c r="AF83" t="s">
        <v>74</v>
      </c>
      <c r="AG83">
        <v>48</v>
      </c>
      <c r="AH83">
        <v>46</v>
      </c>
      <c r="AI83">
        <v>52</v>
      </c>
      <c r="AJ83">
        <v>0</v>
      </c>
      <c r="AK83">
        <v>9</v>
      </c>
      <c r="AL83" t="s">
        <v>1363</v>
      </c>
      <c r="AM83" t="s">
        <v>214</v>
      </c>
      <c r="AN83" t="s">
        <v>1364</v>
      </c>
      <c r="AO83" t="s">
        <v>1365</v>
      </c>
      <c r="AP83" t="s">
        <v>74</v>
      </c>
      <c r="AQ83" t="s">
        <v>74</v>
      </c>
      <c r="AR83" t="s">
        <v>1366</v>
      </c>
      <c r="AS83" t="s">
        <v>1367</v>
      </c>
      <c r="AT83" t="s">
        <v>1222</v>
      </c>
      <c r="AU83">
        <v>1998</v>
      </c>
      <c r="AV83">
        <v>83</v>
      </c>
      <c r="AW83">
        <v>2</v>
      </c>
      <c r="AX83" t="s">
        <v>74</v>
      </c>
      <c r="AY83" t="s">
        <v>74</v>
      </c>
      <c r="AZ83" t="s">
        <v>74</v>
      </c>
      <c r="BA83" t="s">
        <v>74</v>
      </c>
      <c r="BB83">
        <v>145</v>
      </c>
      <c r="BC83">
        <v>154</v>
      </c>
      <c r="BD83" t="s">
        <v>74</v>
      </c>
      <c r="BE83" t="s">
        <v>1368</v>
      </c>
      <c r="BF83" t="str">
        <f>HYPERLINK("http://dx.doi.org/10.1016/S0006-3207(97)00068-2","http://dx.doi.org/10.1016/S0006-3207(97)00068-2")</f>
        <v>http://dx.doi.org/10.1016/S0006-3207(97)00068-2</v>
      </c>
      <c r="BG83" t="s">
        <v>74</v>
      </c>
      <c r="BH83" t="s">
        <v>74</v>
      </c>
      <c r="BI83">
        <v>10</v>
      </c>
      <c r="BJ83" t="s">
        <v>1369</v>
      </c>
      <c r="BK83" t="s">
        <v>98</v>
      </c>
      <c r="BL83" t="s">
        <v>904</v>
      </c>
      <c r="BM83" t="s">
        <v>1370</v>
      </c>
      <c r="BN83" t="s">
        <v>74</v>
      </c>
      <c r="BO83" t="s">
        <v>74</v>
      </c>
      <c r="BP83" t="s">
        <v>74</v>
      </c>
      <c r="BQ83" t="s">
        <v>74</v>
      </c>
      <c r="BR83" t="s">
        <v>101</v>
      </c>
      <c r="BS83" t="s">
        <v>1371</v>
      </c>
      <c r="BT83" t="str">
        <f>HYPERLINK("https%3A%2F%2Fwww.webofscience.com%2Fwos%2Fwoscc%2Ffull-record%2FWOS:A1998YJ19300004","View Full Record in Web of Science")</f>
        <v>View Full Record in Web of Science</v>
      </c>
    </row>
    <row r="84" spans="1:72" x14ac:dyDescent="0.15">
      <c r="A84" t="s">
        <v>72</v>
      </c>
      <c r="B84" t="s">
        <v>1372</v>
      </c>
      <c r="C84" t="s">
        <v>74</v>
      </c>
      <c r="D84" t="s">
        <v>74</v>
      </c>
      <c r="E84" t="s">
        <v>74</v>
      </c>
      <c r="F84" t="s">
        <v>1372</v>
      </c>
      <c r="G84" t="s">
        <v>74</v>
      </c>
      <c r="H84" t="s">
        <v>74</v>
      </c>
      <c r="I84" t="s">
        <v>1373</v>
      </c>
      <c r="J84" t="s">
        <v>1374</v>
      </c>
      <c r="K84" t="s">
        <v>74</v>
      </c>
      <c r="L84" t="s">
        <v>74</v>
      </c>
      <c r="M84" t="s">
        <v>77</v>
      </c>
      <c r="N84" t="s">
        <v>78</v>
      </c>
      <c r="O84" t="s">
        <v>74</v>
      </c>
      <c r="P84" t="s">
        <v>74</v>
      </c>
      <c r="Q84" t="s">
        <v>74</v>
      </c>
      <c r="R84" t="s">
        <v>74</v>
      </c>
      <c r="S84" t="s">
        <v>74</v>
      </c>
      <c r="T84" t="s">
        <v>74</v>
      </c>
      <c r="U84" t="s">
        <v>1375</v>
      </c>
      <c r="V84" t="s">
        <v>74</v>
      </c>
      <c r="W84" t="s">
        <v>1376</v>
      </c>
      <c r="X84" t="s">
        <v>1377</v>
      </c>
      <c r="Y84" t="s">
        <v>1378</v>
      </c>
      <c r="Z84" t="s">
        <v>74</v>
      </c>
      <c r="AA84" t="s">
        <v>1379</v>
      </c>
      <c r="AB84" t="s">
        <v>1380</v>
      </c>
      <c r="AC84" t="s">
        <v>74</v>
      </c>
      <c r="AD84" t="s">
        <v>74</v>
      </c>
      <c r="AE84" t="s">
        <v>74</v>
      </c>
      <c r="AF84" t="s">
        <v>74</v>
      </c>
      <c r="AG84">
        <v>50</v>
      </c>
      <c r="AH84">
        <v>30</v>
      </c>
      <c r="AI84">
        <v>32</v>
      </c>
      <c r="AJ84">
        <v>1</v>
      </c>
      <c r="AK84">
        <v>4</v>
      </c>
      <c r="AL84" t="s">
        <v>1381</v>
      </c>
      <c r="AM84" t="s">
        <v>88</v>
      </c>
      <c r="AN84" t="s">
        <v>1382</v>
      </c>
      <c r="AO84" t="s">
        <v>1383</v>
      </c>
      <c r="AP84" t="s">
        <v>74</v>
      </c>
      <c r="AQ84" t="s">
        <v>74</v>
      </c>
      <c r="AR84" t="s">
        <v>1374</v>
      </c>
      <c r="AS84" t="s">
        <v>1384</v>
      </c>
      <c r="AT84" t="s">
        <v>1222</v>
      </c>
      <c r="AU84">
        <v>1998</v>
      </c>
      <c r="AV84">
        <v>48</v>
      </c>
      <c r="AW84">
        <v>2</v>
      </c>
      <c r="AX84" t="s">
        <v>74</v>
      </c>
      <c r="AY84" t="s">
        <v>74</v>
      </c>
      <c r="AZ84" t="s">
        <v>74</v>
      </c>
      <c r="BA84" t="s">
        <v>74</v>
      </c>
      <c r="BB84">
        <v>83</v>
      </c>
      <c r="BC84">
        <v>93</v>
      </c>
      <c r="BD84" t="s">
        <v>74</v>
      </c>
      <c r="BE84" t="s">
        <v>1385</v>
      </c>
      <c r="BF84" t="str">
        <f>HYPERLINK("http://dx.doi.org/10.2307/1313133","http://dx.doi.org/10.2307/1313133")</f>
        <v>http://dx.doi.org/10.2307/1313133</v>
      </c>
      <c r="BG84" t="s">
        <v>74</v>
      </c>
      <c r="BH84" t="s">
        <v>74</v>
      </c>
      <c r="BI84">
        <v>11</v>
      </c>
      <c r="BJ84" t="s">
        <v>1386</v>
      </c>
      <c r="BK84" t="s">
        <v>98</v>
      </c>
      <c r="BL84" t="s">
        <v>1387</v>
      </c>
      <c r="BM84" t="s">
        <v>1388</v>
      </c>
      <c r="BN84" t="s">
        <v>74</v>
      </c>
      <c r="BO84" t="s">
        <v>100</v>
      </c>
      <c r="BP84" t="s">
        <v>74</v>
      </c>
      <c r="BQ84" t="s">
        <v>74</v>
      </c>
      <c r="BR84" t="s">
        <v>101</v>
      </c>
      <c r="BS84" t="s">
        <v>1389</v>
      </c>
      <c r="BT84" t="str">
        <f>HYPERLINK("https%3A%2F%2Fwww.webofscience.com%2Fwos%2Fwoscc%2Ffull-record%2FWOS:000071574800004","View Full Record in Web of Science")</f>
        <v>View Full Record in Web of Science</v>
      </c>
    </row>
    <row r="85" spans="1:72" x14ac:dyDescent="0.15">
      <c r="A85" t="s">
        <v>72</v>
      </c>
      <c r="B85" t="s">
        <v>1390</v>
      </c>
      <c r="C85" t="s">
        <v>74</v>
      </c>
      <c r="D85" t="s">
        <v>74</v>
      </c>
      <c r="E85" t="s">
        <v>74</v>
      </c>
      <c r="F85" t="s">
        <v>1390</v>
      </c>
      <c r="G85" t="s">
        <v>74</v>
      </c>
      <c r="H85" t="s">
        <v>74</v>
      </c>
      <c r="I85" t="s">
        <v>1391</v>
      </c>
      <c r="J85" t="s">
        <v>1392</v>
      </c>
      <c r="K85" t="s">
        <v>74</v>
      </c>
      <c r="L85" t="s">
        <v>74</v>
      </c>
      <c r="M85" t="s">
        <v>77</v>
      </c>
      <c r="N85" t="s">
        <v>78</v>
      </c>
      <c r="O85" t="s">
        <v>74</v>
      </c>
      <c r="P85" t="s">
        <v>74</v>
      </c>
      <c r="Q85" t="s">
        <v>74</v>
      </c>
      <c r="R85" t="s">
        <v>74</v>
      </c>
      <c r="S85" t="s">
        <v>74</v>
      </c>
      <c r="T85" t="s">
        <v>1393</v>
      </c>
      <c r="U85" t="s">
        <v>1394</v>
      </c>
      <c r="V85" t="s">
        <v>1395</v>
      </c>
      <c r="W85" t="s">
        <v>1396</v>
      </c>
      <c r="X85" t="s">
        <v>1397</v>
      </c>
      <c r="Y85" t="s">
        <v>1398</v>
      </c>
      <c r="Z85" t="s">
        <v>779</v>
      </c>
      <c r="AA85" t="s">
        <v>1399</v>
      </c>
      <c r="AB85" t="s">
        <v>74</v>
      </c>
      <c r="AC85" t="s">
        <v>74</v>
      </c>
      <c r="AD85" t="s">
        <v>74</v>
      </c>
      <c r="AE85" t="s">
        <v>74</v>
      </c>
      <c r="AF85" t="s">
        <v>74</v>
      </c>
      <c r="AG85">
        <v>69</v>
      </c>
      <c r="AH85">
        <v>38</v>
      </c>
      <c r="AI85">
        <v>42</v>
      </c>
      <c r="AJ85">
        <v>0</v>
      </c>
      <c r="AK85">
        <v>4</v>
      </c>
      <c r="AL85" t="s">
        <v>914</v>
      </c>
      <c r="AM85" t="s">
        <v>244</v>
      </c>
      <c r="AN85" t="s">
        <v>1400</v>
      </c>
      <c r="AO85" t="s">
        <v>1401</v>
      </c>
      <c r="AP85" t="s">
        <v>74</v>
      </c>
      <c r="AQ85" t="s">
        <v>74</v>
      </c>
      <c r="AR85" t="s">
        <v>1402</v>
      </c>
      <c r="AS85" t="s">
        <v>1403</v>
      </c>
      <c r="AT85" t="s">
        <v>1222</v>
      </c>
      <c r="AU85">
        <v>1998</v>
      </c>
      <c r="AV85">
        <v>59</v>
      </c>
      <c r="AW85">
        <v>4</v>
      </c>
      <c r="AX85" t="s">
        <v>74</v>
      </c>
      <c r="AY85" t="s">
        <v>74</v>
      </c>
      <c r="AZ85" t="s">
        <v>74</v>
      </c>
      <c r="BA85" t="s">
        <v>74</v>
      </c>
      <c r="BB85">
        <v>245</v>
      </c>
      <c r="BC85">
        <v>261</v>
      </c>
      <c r="BD85" t="s">
        <v>74</v>
      </c>
      <c r="BE85" t="s">
        <v>1404</v>
      </c>
      <c r="BF85" t="str">
        <f>HYPERLINK("http://dx.doi.org/10.1007/s004450050189","http://dx.doi.org/10.1007/s004450050189")</f>
        <v>http://dx.doi.org/10.1007/s004450050189</v>
      </c>
      <c r="BG85" t="s">
        <v>74</v>
      </c>
      <c r="BH85" t="s">
        <v>74</v>
      </c>
      <c r="BI85">
        <v>17</v>
      </c>
      <c r="BJ85" t="s">
        <v>769</v>
      </c>
      <c r="BK85" t="s">
        <v>98</v>
      </c>
      <c r="BL85" t="s">
        <v>471</v>
      </c>
      <c r="BM85" t="s">
        <v>1405</v>
      </c>
      <c r="BN85" t="s">
        <v>74</v>
      </c>
      <c r="BO85" t="s">
        <v>74</v>
      </c>
      <c r="BP85" t="s">
        <v>74</v>
      </c>
      <c r="BQ85" t="s">
        <v>74</v>
      </c>
      <c r="BR85" t="s">
        <v>101</v>
      </c>
      <c r="BS85" t="s">
        <v>1406</v>
      </c>
      <c r="BT85" t="str">
        <f>HYPERLINK("https%3A%2F%2Fwww.webofscience.com%2Fwos%2Fwoscc%2Ffull-record%2FWOS:000072062200002","View Full Record in Web of Science")</f>
        <v>View Full Record in Web of Science</v>
      </c>
    </row>
    <row r="86" spans="1:72" x14ac:dyDescent="0.15">
      <c r="A86" t="s">
        <v>72</v>
      </c>
      <c r="B86" t="s">
        <v>1407</v>
      </c>
      <c r="C86" t="s">
        <v>74</v>
      </c>
      <c r="D86" t="s">
        <v>74</v>
      </c>
      <c r="E86" t="s">
        <v>74</v>
      </c>
      <c r="F86" t="s">
        <v>1407</v>
      </c>
      <c r="G86" t="s">
        <v>74</v>
      </c>
      <c r="H86" t="s">
        <v>74</v>
      </c>
      <c r="I86" t="s">
        <v>1408</v>
      </c>
      <c r="J86" t="s">
        <v>1409</v>
      </c>
      <c r="K86" t="s">
        <v>74</v>
      </c>
      <c r="L86" t="s">
        <v>74</v>
      </c>
      <c r="M86" t="s">
        <v>77</v>
      </c>
      <c r="N86" t="s">
        <v>78</v>
      </c>
      <c r="O86" t="s">
        <v>74</v>
      </c>
      <c r="P86" t="s">
        <v>74</v>
      </c>
      <c r="Q86" t="s">
        <v>74</v>
      </c>
      <c r="R86" t="s">
        <v>74</v>
      </c>
      <c r="S86" t="s">
        <v>74</v>
      </c>
      <c r="T86" t="s">
        <v>74</v>
      </c>
      <c r="U86" t="s">
        <v>1410</v>
      </c>
      <c r="V86" t="s">
        <v>1411</v>
      </c>
      <c r="W86" t="s">
        <v>1412</v>
      </c>
      <c r="X86" t="s">
        <v>1413</v>
      </c>
      <c r="Y86" t="s">
        <v>1414</v>
      </c>
      <c r="Z86" t="s">
        <v>74</v>
      </c>
      <c r="AA86" t="s">
        <v>1415</v>
      </c>
      <c r="AB86" t="s">
        <v>1416</v>
      </c>
      <c r="AC86" t="s">
        <v>74</v>
      </c>
      <c r="AD86" t="s">
        <v>74</v>
      </c>
      <c r="AE86" t="s">
        <v>74</v>
      </c>
      <c r="AF86" t="s">
        <v>74</v>
      </c>
      <c r="AG86">
        <v>42</v>
      </c>
      <c r="AH86">
        <v>27</v>
      </c>
      <c r="AI86">
        <v>29</v>
      </c>
      <c r="AJ86">
        <v>0</v>
      </c>
      <c r="AK86">
        <v>2</v>
      </c>
      <c r="AL86" t="s">
        <v>914</v>
      </c>
      <c r="AM86" t="s">
        <v>244</v>
      </c>
      <c r="AN86" t="s">
        <v>1400</v>
      </c>
      <c r="AO86" t="s">
        <v>1417</v>
      </c>
      <c r="AP86" t="s">
        <v>74</v>
      </c>
      <c r="AQ86" t="s">
        <v>74</v>
      </c>
      <c r="AR86" t="s">
        <v>1418</v>
      </c>
      <c r="AS86" t="s">
        <v>1419</v>
      </c>
      <c r="AT86" t="s">
        <v>1222</v>
      </c>
      <c r="AU86">
        <v>1998</v>
      </c>
      <c r="AV86">
        <v>14</v>
      </c>
      <c r="AW86">
        <v>2</v>
      </c>
      <c r="AX86" t="s">
        <v>74</v>
      </c>
      <c r="AY86" t="s">
        <v>74</v>
      </c>
      <c r="AZ86" t="s">
        <v>74</v>
      </c>
      <c r="BA86" t="s">
        <v>74</v>
      </c>
      <c r="BB86">
        <v>101</v>
      </c>
      <c r="BC86">
        <v>116</v>
      </c>
      <c r="BD86" t="s">
        <v>74</v>
      </c>
      <c r="BE86" t="s">
        <v>1420</v>
      </c>
      <c r="BF86" t="str">
        <f>HYPERLINK("http://dx.doi.org/10.1007/s003820050212","http://dx.doi.org/10.1007/s003820050212")</f>
        <v>http://dx.doi.org/10.1007/s003820050212</v>
      </c>
      <c r="BG86" t="s">
        <v>74</v>
      </c>
      <c r="BH86" t="s">
        <v>74</v>
      </c>
      <c r="BI86">
        <v>16</v>
      </c>
      <c r="BJ86" t="s">
        <v>635</v>
      </c>
      <c r="BK86" t="s">
        <v>98</v>
      </c>
      <c r="BL86" t="s">
        <v>635</v>
      </c>
      <c r="BM86" t="s">
        <v>1421</v>
      </c>
      <c r="BN86" t="s">
        <v>74</v>
      </c>
      <c r="BO86" t="s">
        <v>74</v>
      </c>
      <c r="BP86" t="s">
        <v>74</v>
      </c>
      <c r="BQ86" t="s">
        <v>74</v>
      </c>
      <c r="BR86" t="s">
        <v>101</v>
      </c>
      <c r="BS86" t="s">
        <v>1422</v>
      </c>
      <c r="BT86" t="str">
        <f>HYPERLINK("https%3A%2F%2Fwww.webofscience.com%2Fwos%2Fwoscc%2Ffull-record%2FWOS:000072145800003","View Full Record in Web of Science")</f>
        <v>View Full Record in Web of Science</v>
      </c>
    </row>
    <row r="87" spans="1:72" x14ac:dyDescent="0.15">
      <c r="A87" t="s">
        <v>72</v>
      </c>
      <c r="B87" t="s">
        <v>1423</v>
      </c>
      <c r="C87" t="s">
        <v>74</v>
      </c>
      <c r="D87" t="s">
        <v>74</v>
      </c>
      <c r="E87" t="s">
        <v>74</v>
      </c>
      <c r="F87" t="s">
        <v>1423</v>
      </c>
      <c r="G87" t="s">
        <v>74</v>
      </c>
      <c r="H87" t="s">
        <v>74</v>
      </c>
      <c r="I87" t="s">
        <v>1424</v>
      </c>
      <c r="J87" t="s">
        <v>1425</v>
      </c>
      <c r="K87" t="s">
        <v>74</v>
      </c>
      <c r="L87" t="s">
        <v>74</v>
      </c>
      <c r="M87" t="s">
        <v>77</v>
      </c>
      <c r="N87" t="s">
        <v>371</v>
      </c>
      <c r="O87" t="s">
        <v>74</v>
      </c>
      <c r="P87" t="s">
        <v>74</v>
      </c>
      <c r="Q87" t="s">
        <v>74</v>
      </c>
      <c r="R87" t="s">
        <v>74</v>
      </c>
      <c r="S87" t="s">
        <v>74</v>
      </c>
      <c r="T87" t="s">
        <v>74</v>
      </c>
      <c r="U87" t="s">
        <v>74</v>
      </c>
      <c r="V87" t="s">
        <v>74</v>
      </c>
      <c r="W87" t="s">
        <v>74</v>
      </c>
      <c r="X87" t="s">
        <v>74</v>
      </c>
      <c r="Y87" t="s">
        <v>74</v>
      </c>
      <c r="Z87" t="s">
        <v>74</v>
      </c>
      <c r="AA87" t="s">
        <v>1426</v>
      </c>
      <c r="AB87" t="s">
        <v>1427</v>
      </c>
      <c r="AC87" t="s">
        <v>74</v>
      </c>
      <c r="AD87" t="s">
        <v>74</v>
      </c>
      <c r="AE87" t="s">
        <v>74</v>
      </c>
      <c r="AF87" t="s">
        <v>74</v>
      </c>
      <c r="AG87">
        <v>1</v>
      </c>
      <c r="AH87">
        <v>0</v>
      </c>
      <c r="AI87">
        <v>0</v>
      </c>
      <c r="AJ87">
        <v>0</v>
      </c>
      <c r="AK87">
        <v>2</v>
      </c>
      <c r="AL87" t="s">
        <v>451</v>
      </c>
      <c r="AM87" t="s">
        <v>214</v>
      </c>
      <c r="AN87" t="s">
        <v>452</v>
      </c>
      <c r="AO87" t="s">
        <v>1428</v>
      </c>
      <c r="AP87" t="s">
        <v>74</v>
      </c>
      <c r="AQ87" t="s">
        <v>74</v>
      </c>
      <c r="AR87" t="s">
        <v>1429</v>
      </c>
      <c r="AS87" t="s">
        <v>1430</v>
      </c>
      <c r="AT87" t="s">
        <v>1222</v>
      </c>
      <c r="AU87">
        <v>1998</v>
      </c>
      <c r="AV87">
        <v>119</v>
      </c>
      <c r="AW87">
        <v>2</v>
      </c>
      <c r="AX87" t="s">
        <v>74</v>
      </c>
      <c r="AY87" t="s">
        <v>74</v>
      </c>
      <c r="AZ87" t="s">
        <v>74</v>
      </c>
      <c r="BA87" t="s">
        <v>74</v>
      </c>
      <c r="BB87">
        <v>413</v>
      </c>
      <c r="BC87">
        <v>413</v>
      </c>
      <c r="BD87" t="s">
        <v>74</v>
      </c>
      <c r="BE87" t="s">
        <v>74</v>
      </c>
      <c r="BF87" t="s">
        <v>74</v>
      </c>
      <c r="BG87" t="s">
        <v>74</v>
      </c>
      <c r="BH87" t="s">
        <v>74</v>
      </c>
      <c r="BI87">
        <v>1</v>
      </c>
      <c r="BJ87" t="s">
        <v>1431</v>
      </c>
      <c r="BK87" t="s">
        <v>98</v>
      </c>
      <c r="BL87" t="s">
        <v>1431</v>
      </c>
      <c r="BM87" t="s">
        <v>1432</v>
      </c>
      <c r="BN87" t="s">
        <v>74</v>
      </c>
      <c r="BO87" t="s">
        <v>74</v>
      </c>
      <c r="BP87" t="s">
        <v>74</v>
      </c>
      <c r="BQ87" t="s">
        <v>74</v>
      </c>
      <c r="BR87" t="s">
        <v>101</v>
      </c>
      <c r="BS87" t="s">
        <v>1433</v>
      </c>
      <c r="BT87" t="str">
        <f>HYPERLINK("https%3A%2F%2Fwww.webofscience.com%2Fwos%2Fwoscc%2Ffull-record%2FWOS:000073473200025","View Full Record in Web of Science")</f>
        <v>View Full Record in Web of Science</v>
      </c>
    </row>
    <row r="88" spans="1:72" x14ac:dyDescent="0.15">
      <c r="A88" t="s">
        <v>72</v>
      </c>
      <c r="B88" t="s">
        <v>1434</v>
      </c>
      <c r="C88" t="s">
        <v>74</v>
      </c>
      <c r="D88" t="s">
        <v>74</v>
      </c>
      <c r="E88" t="s">
        <v>74</v>
      </c>
      <c r="F88" t="s">
        <v>1434</v>
      </c>
      <c r="G88" t="s">
        <v>74</v>
      </c>
      <c r="H88" t="s">
        <v>74</v>
      </c>
      <c r="I88" t="s">
        <v>1435</v>
      </c>
      <c r="J88" t="s">
        <v>1436</v>
      </c>
      <c r="K88" t="s">
        <v>74</v>
      </c>
      <c r="L88" t="s">
        <v>74</v>
      </c>
      <c r="M88" t="s">
        <v>77</v>
      </c>
      <c r="N88" t="s">
        <v>78</v>
      </c>
      <c r="O88" t="s">
        <v>74</v>
      </c>
      <c r="P88" t="s">
        <v>74</v>
      </c>
      <c r="Q88" t="s">
        <v>74</v>
      </c>
      <c r="R88" t="s">
        <v>74</v>
      </c>
      <c r="S88" t="s">
        <v>74</v>
      </c>
      <c r="T88" t="s">
        <v>1437</v>
      </c>
      <c r="U88" t="s">
        <v>1438</v>
      </c>
      <c r="V88" t="s">
        <v>1439</v>
      </c>
      <c r="W88" t="s">
        <v>372</v>
      </c>
      <c r="X88" t="s">
        <v>322</v>
      </c>
      <c r="Y88" t="s">
        <v>1440</v>
      </c>
      <c r="Z88" t="s">
        <v>1441</v>
      </c>
      <c r="AA88" t="s">
        <v>74</v>
      </c>
      <c r="AB88" t="s">
        <v>74</v>
      </c>
      <c r="AC88" t="s">
        <v>74</v>
      </c>
      <c r="AD88" t="s">
        <v>74</v>
      </c>
      <c r="AE88" t="s">
        <v>74</v>
      </c>
      <c r="AF88" t="s">
        <v>74</v>
      </c>
      <c r="AG88">
        <v>24</v>
      </c>
      <c r="AH88">
        <v>10</v>
      </c>
      <c r="AI88">
        <v>10</v>
      </c>
      <c r="AJ88">
        <v>0</v>
      </c>
      <c r="AK88">
        <v>2</v>
      </c>
      <c r="AL88" t="s">
        <v>1442</v>
      </c>
      <c r="AM88" t="s">
        <v>590</v>
      </c>
      <c r="AN88" t="s">
        <v>1443</v>
      </c>
      <c r="AO88" t="s">
        <v>1444</v>
      </c>
      <c r="AP88" t="s">
        <v>74</v>
      </c>
      <c r="AQ88" t="s">
        <v>74</v>
      </c>
      <c r="AR88" t="s">
        <v>1436</v>
      </c>
      <c r="AS88" t="s">
        <v>1445</v>
      </c>
      <c r="AT88" t="s">
        <v>1222</v>
      </c>
      <c r="AU88">
        <v>1998</v>
      </c>
      <c r="AV88">
        <v>100</v>
      </c>
      <c r="AW88">
        <v>1</v>
      </c>
      <c r="AX88" t="s">
        <v>74</v>
      </c>
      <c r="AY88" t="s">
        <v>74</v>
      </c>
      <c r="AZ88" t="s">
        <v>74</v>
      </c>
      <c r="BA88" t="s">
        <v>74</v>
      </c>
      <c r="BB88">
        <v>8</v>
      </c>
      <c r="BC88">
        <v>17</v>
      </c>
      <c r="BD88" t="s">
        <v>74</v>
      </c>
      <c r="BE88" t="s">
        <v>1446</v>
      </c>
      <c r="BF88" t="str">
        <f>HYPERLINK("http://dx.doi.org/10.2307/1369892","http://dx.doi.org/10.2307/1369892")</f>
        <v>http://dx.doi.org/10.2307/1369892</v>
      </c>
      <c r="BG88" t="s">
        <v>74</v>
      </c>
      <c r="BH88" t="s">
        <v>74</v>
      </c>
      <c r="BI88">
        <v>10</v>
      </c>
      <c r="BJ88" t="s">
        <v>439</v>
      </c>
      <c r="BK88" t="s">
        <v>98</v>
      </c>
      <c r="BL88" t="s">
        <v>417</v>
      </c>
      <c r="BM88" t="s">
        <v>1447</v>
      </c>
      <c r="BN88" t="s">
        <v>74</v>
      </c>
      <c r="BO88" t="s">
        <v>74</v>
      </c>
      <c r="BP88" t="s">
        <v>74</v>
      </c>
      <c r="BQ88" t="s">
        <v>74</v>
      </c>
      <c r="BR88" t="s">
        <v>101</v>
      </c>
      <c r="BS88" t="s">
        <v>1448</v>
      </c>
      <c r="BT88" t="str">
        <f>HYPERLINK("https%3A%2F%2Fwww.webofscience.com%2Fwos%2Fwoscc%2Ffull-record%2FWOS:000072049500002","View Full Record in Web of Science")</f>
        <v>View Full Record in Web of Science</v>
      </c>
    </row>
    <row r="89" spans="1:72" x14ac:dyDescent="0.15">
      <c r="A89" t="s">
        <v>72</v>
      </c>
      <c r="B89" t="s">
        <v>1449</v>
      </c>
      <c r="C89" t="s">
        <v>74</v>
      </c>
      <c r="D89" t="s">
        <v>74</v>
      </c>
      <c r="E89" t="s">
        <v>74</v>
      </c>
      <c r="F89" t="s">
        <v>1449</v>
      </c>
      <c r="G89" t="s">
        <v>74</v>
      </c>
      <c r="H89" t="s">
        <v>74</v>
      </c>
      <c r="I89" t="s">
        <v>1450</v>
      </c>
      <c r="J89" t="s">
        <v>1436</v>
      </c>
      <c r="K89" t="s">
        <v>74</v>
      </c>
      <c r="L89" t="s">
        <v>74</v>
      </c>
      <c r="M89" t="s">
        <v>77</v>
      </c>
      <c r="N89" t="s">
        <v>78</v>
      </c>
      <c r="O89" t="s">
        <v>74</v>
      </c>
      <c r="P89" t="s">
        <v>74</v>
      </c>
      <c r="Q89" t="s">
        <v>74</v>
      </c>
      <c r="R89" t="s">
        <v>74</v>
      </c>
      <c r="S89" t="s">
        <v>74</v>
      </c>
      <c r="T89" t="s">
        <v>1451</v>
      </c>
      <c r="U89" t="s">
        <v>1452</v>
      </c>
      <c r="V89" t="s">
        <v>1453</v>
      </c>
      <c r="W89" t="s">
        <v>1454</v>
      </c>
      <c r="X89" t="s">
        <v>1455</v>
      </c>
      <c r="Y89" t="s">
        <v>1456</v>
      </c>
      <c r="Z89" t="s">
        <v>1457</v>
      </c>
      <c r="AA89" t="s">
        <v>1458</v>
      </c>
      <c r="AB89" t="s">
        <v>1459</v>
      </c>
      <c r="AC89" t="s">
        <v>74</v>
      </c>
      <c r="AD89" t="s">
        <v>74</v>
      </c>
      <c r="AE89" t="s">
        <v>74</v>
      </c>
      <c r="AF89" t="s">
        <v>74</v>
      </c>
      <c r="AG89">
        <v>30</v>
      </c>
      <c r="AH89">
        <v>30</v>
      </c>
      <c r="AI89">
        <v>32</v>
      </c>
      <c r="AJ89">
        <v>0</v>
      </c>
      <c r="AK89">
        <v>7</v>
      </c>
      <c r="AL89" t="s">
        <v>1442</v>
      </c>
      <c r="AM89" t="s">
        <v>590</v>
      </c>
      <c r="AN89" t="s">
        <v>1443</v>
      </c>
      <c r="AO89" t="s">
        <v>1444</v>
      </c>
      <c r="AP89" t="s">
        <v>74</v>
      </c>
      <c r="AQ89" t="s">
        <v>74</v>
      </c>
      <c r="AR89" t="s">
        <v>1436</v>
      </c>
      <c r="AS89" t="s">
        <v>1445</v>
      </c>
      <c r="AT89" t="s">
        <v>1222</v>
      </c>
      <c r="AU89">
        <v>1998</v>
      </c>
      <c r="AV89">
        <v>100</v>
      </c>
      <c r="AW89">
        <v>1</v>
      </c>
      <c r="AX89" t="s">
        <v>74</v>
      </c>
      <c r="AY89" t="s">
        <v>74</v>
      </c>
      <c r="AZ89" t="s">
        <v>74</v>
      </c>
      <c r="BA89" t="s">
        <v>74</v>
      </c>
      <c r="BB89">
        <v>112</v>
      </c>
      <c r="BC89">
        <v>118</v>
      </c>
      <c r="BD89" t="s">
        <v>74</v>
      </c>
      <c r="BE89" t="s">
        <v>1460</v>
      </c>
      <c r="BF89" t="str">
        <f>HYPERLINK("http://dx.doi.org/10.2307/1369902","http://dx.doi.org/10.2307/1369902")</f>
        <v>http://dx.doi.org/10.2307/1369902</v>
      </c>
      <c r="BG89" t="s">
        <v>74</v>
      </c>
      <c r="BH89" t="s">
        <v>74</v>
      </c>
      <c r="BI89">
        <v>7</v>
      </c>
      <c r="BJ89" t="s">
        <v>439</v>
      </c>
      <c r="BK89" t="s">
        <v>98</v>
      </c>
      <c r="BL89" t="s">
        <v>417</v>
      </c>
      <c r="BM89" t="s">
        <v>1447</v>
      </c>
      <c r="BN89" t="s">
        <v>74</v>
      </c>
      <c r="BO89" t="s">
        <v>100</v>
      </c>
      <c r="BP89" t="s">
        <v>74</v>
      </c>
      <c r="BQ89" t="s">
        <v>74</v>
      </c>
      <c r="BR89" t="s">
        <v>101</v>
      </c>
      <c r="BS89" t="s">
        <v>1461</v>
      </c>
      <c r="BT89" t="str">
        <f>HYPERLINK("https%3A%2F%2Fwww.webofscience.com%2Fwos%2Fwoscc%2Ffull-record%2FWOS:000072049500012","View Full Record in Web of Science")</f>
        <v>View Full Record in Web of Science</v>
      </c>
    </row>
    <row r="90" spans="1:72" x14ac:dyDescent="0.15">
      <c r="A90" t="s">
        <v>72</v>
      </c>
      <c r="B90" t="s">
        <v>1462</v>
      </c>
      <c r="C90" t="s">
        <v>74</v>
      </c>
      <c r="D90" t="s">
        <v>74</v>
      </c>
      <c r="E90" t="s">
        <v>74</v>
      </c>
      <c r="F90" t="s">
        <v>1462</v>
      </c>
      <c r="G90" t="s">
        <v>74</v>
      </c>
      <c r="H90" t="s">
        <v>74</v>
      </c>
      <c r="I90" t="s">
        <v>1463</v>
      </c>
      <c r="J90" t="s">
        <v>1464</v>
      </c>
      <c r="K90" t="s">
        <v>74</v>
      </c>
      <c r="L90" t="s">
        <v>74</v>
      </c>
      <c r="M90" t="s">
        <v>77</v>
      </c>
      <c r="N90" t="s">
        <v>78</v>
      </c>
      <c r="O90" t="s">
        <v>74</v>
      </c>
      <c r="P90" t="s">
        <v>74</v>
      </c>
      <c r="Q90" t="s">
        <v>74</v>
      </c>
      <c r="R90" t="s">
        <v>74</v>
      </c>
      <c r="S90" t="s">
        <v>74</v>
      </c>
      <c r="T90" t="s">
        <v>1465</v>
      </c>
      <c r="U90" t="s">
        <v>1466</v>
      </c>
      <c r="V90" t="s">
        <v>1467</v>
      </c>
      <c r="W90" t="s">
        <v>372</v>
      </c>
      <c r="X90" t="s">
        <v>322</v>
      </c>
      <c r="Y90" t="s">
        <v>1468</v>
      </c>
      <c r="Z90" t="s">
        <v>74</v>
      </c>
      <c r="AA90" t="s">
        <v>74</v>
      </c>
      <c r="AB90" t="s">
        <v>74</v>
      </c>
      <c r="AC90" t="s">
        <v>74</v>
      </c>
      <c r="AD90" t="s">
        <v>74</v>
      </c>
      <c r="AE90" t="s">
        <v>74</v>
      </c>
      <c r="AF90" t="s">
        <v>74</v>
      </c>
      <c r="AG90">
        <v>52</v>
      </c>
      <c r="AH90">
        <v>49</v>
      </c>
      <c r="AI90">
        <v>53</v>
      </c>
      <c r="AJ90">
        <v>0</v>
      </c>
      <c r="AK90">
        <v>0</v>
      </c>
      <c r="AL90" t="s">
        <v>1469</v>
      </c>
      <c r="AM90" t="s">
        <v>201</v>
      </c>
      <c r="AN90" t="s">
        <v>1470</v>
      </c>
      <c r="AO90" t="s">
        <v>1471</v>
      </c>
      <c r="AP90" t="s">
        <v>74</v>
      </c>
      <c r="AQ90" t="s">
        <v>74</v>
      </c>
      <c r="AR90" t="s">
        <v>1472</v>
      </c>
      <c r="AS90" t="s">
        <v>1473</v>
      </c>
      <c r="AT90" t="s">
        <v>1222</v>
      </c>
      <c r="AU90">
        <v>1998</v>
      </c>
      <c r="AV90">
        <v>19</v>
      </c>
      <c r="AW90">
        <v>1</v>
      </c>
      <c r="AX90" t="s">
        <v>74</v>
      </c>
      <c r="AY90" t="s">
        <v>74</v>
      </c>
      <c r="AZ90" t="s">
        <v>74</v>
      </c>
      <c r="BA90" t="s">
        <v>74</v>
      </c>
      <c r="BB90">
        <v>43</v>
      </c>
      <c r="BC90">
        <v>67</v>
      </c>
      <c r="BD90" t="s">
        <v>74</v>
      </c>
      <c r="BE90" t="s">
        <v>1474</v>
      </c>
      <c r="BF90" t="str">
        <f>HYPERLINK("http://dx.doi.org/10.1006/cres.1997.0095","http://dx.doi.org/10.1006/cres.1997.0095")</f>
        <v>http://dx.doi.org/10.1006/cres.1997.0095</v>
      </c>
      <c r="BG90" t="s">
        <v>74</v>
      </c>
      <c r="BH90" t="s">
        <v>74</v>
      </c>
      <c r="BI90">
        <v>25</v>
      </c>
      <c r="BJ90" t="s">
        <v>1475</v>
      </c>
      <c r="BK90" t="s">
        <v>98</v>
      </c>
      <c r="BL90" t="s">
        <v>1475</v>
      </c>
      <c r="BM90" t="s">
        <v>1476</v>
      </c>
      <c r="BN90" t="s">
        <v>74</v>
      </c>
      <c r="BO90" t="s">
        <v>74</v>
      </c>
      <c r="BP90" t="s">
        <v>74</v>
      </c>
      <c r="BQ90" t="s">
        <v>74</v>
      </c>
      <c r="BR90" t="s">
        <v>101</v>
      </c>
      <c r="BS90" t="s">
        <v>1477</v>
      </c>
      <c r="BT90" t="str">
        <f>HYPERLINK("https%3A%2F%2Fwww.webofscience.com%2Fwos%2Fwoscc%2Ffull-record%2FWOS:000073274700003","View Full Record in Web of Science")</f>
        <v>View Full Record in Web of Science</v>
      </c>
    </row>
    <row r="91" spans="1:72" x14ac:dyDescent="0.15">
      <c r="A91" t="s">
        <v>72</v>
      </c>
      <c r="B91" t="s">
        <v>1478</v>
      </c>
      <c r="C91" t="s">
        <v>74</v>
      </c>
      <c r="D91" t="s">
        <v>74</v>
      </c>
      <c r="E91" t="s">
        <v>74</v>
      </c>
      <c r="F91" t="s">
        <v>1478</v>
      </c>
      <c r="G91" t="s">
        <v>74</v>
      </c>
      <c r="H91" t="s">
        <v>74</v>
      </c>
      <c r="I91" t="s">
        <v>1479</v>
      </c>
      <c r="J91" t="s">
        <v>1464</v>
      </c>
      <c r="K91" t="s">
        <v>74</v>
      </c>
      <c r="L91" t="s">
        <v>74</v>
      </c>
      <c r="M91" t="s">
        <v>77</v>
      </c>
      <c r="N91" t="s">
        <v>78</v>
      </c>
      <c r="O91" t="s">
        <v>74</v>
      </c>
      <c r="P91" t="s">
        <v>74</v>
      </c>
      <c r="Q91" t="s">
        <v>74</v>
      </c>
      <c r="R91" t="s">
        <v>74</v>
      </c>
      <c r="S91" t="s">
        <v>74</v>
      </c>
      <c r="T91" t="s">
        <v>1480</v>
      </c>
      <c r="U91" t="s">
        <v>1481</v>
      </c>
      <c r="V91" t="s">
        <v>1482</v>
      </c>
      <c r="W91" t="s">
        <v>1483</v>
      </c>
      <c r="X91" t="s">
        <v>1484</v>
      </c>
      <c r="Y91" t="s">
        <v>1485</v>
      </c>
      <c r="Z91" t="s">
        <v>74</v>
      </c>
      <c r="AA91" t="s">
        <v>1486</v>
      </c>
      <c r="AB91" t="s">
        <v>1487</v>
      </c>
      <c r="AC91" t="s">
        <v>74</v>
      </c>
      <c r="AD91" t="s">
        <v>74</v>
      </c>
      <c r="AE91" t="s">
        <v>74</v>
      </c>
      <c r="AF91" t="s">
        <v>74</v>
      </c>
      <c r="AG91">
        <v>61</v>
      </c>
      <c r="AH91">
        <v>22</v>
      </c>
      <c r="AI91">
        <v>26</v>
      </c>
      <c r="AJ91">
        <v>1</v>
      </c>
      <c r="AK91">
        <v>4</v>
      </c>
      <c r="AL91" t="s">
        <v>1488</v>
      </c>
      <c r="AM91" t="s">
        <v>201</v>
      </c>
      <c r="AN91" t="s">
        <v>1470</v>
      </c>
      <c r="AO91" t="s">
        <v>1471</v>
      </c>
      <c r="AP91" t="s">
        <v>1489</v>
      </c>
      <c r="AQ91" t="s">
        <v>74</v>
      </c>
      <c r="AR91" t="s">
        <v>1472</v>
      </c>
      <c r="AS91" t="s">
        <v>1473</v>
      </c>
      <c r="AT91" t="s">
        <v>1222</v>
      </c>
      <c r="AU91">
        <v>1998</v>
      </c>
      <c r="AV91">
        <v>19</v>
      </c>
      <c r="AW91">
        <v>1</v>
      </c>
      <c r="AX91" t="s">
        <v>74</v>
      </c>
      <c r="AY91" t="s">
        <v>74</v>
      </c>
      <c r="AZ91" t="s">
        <v>74</v>
      </c>
      <c r="BA91" t="s">
        <v>74</v>
      </c>
      <c r="BB91">
        <v>87</v>
      </c>
      <c r="BC91">
        <v>105</v>
      </c>
      <c r="BD91" t="s">
        <v>74</v>
      </c>
      <c r="BE91" t="s">
        <v>1490</v>
      </c>
      <c r="BF91" t="str">
        <f>HYPERLINK("http://dx.doi.org/10.1006/cres.1998.0098","http://dx.doi.org/10.1006/cres.1998.0098")</f>
        <v>http://dx.doi.org/10.1006/cres.1998.0098</v>
      </c>
      <c r="BG91" t="s">
        <v>74</v>
      </c>
      <c r="BH91" t="s">
        <v>74</v>
      </c>
      <c r="BI91">
        <v>19</v>
      </c>
      <c r="BJ91" t="s">
        <v>1475</v>
      </c>
      <c r="BK91" t="s">
        <v>98</v>
      </c>
      <c r="BL91" t="s">
        <v>1475</v>
      </c>
      <c r="BM91" t="s">
        <v>1476</v>
      </c>
      <c r="BN91" t="s">
        <v>74</v>
      </c>
      <c r="BO91" t="s">
        <v>74</v>
      </c>
      <c r="BP91" t="s">
        <v>74</v>
      </c>
      <c r="BQ91" t="s">
        <v>74</v>
      </c>
      <c r="BR91" t="s">
        <v>101</v>
      </c>
      <c r="BS91" t="s">
        <v>1491</v>
      </c>
      <c r="BT91" t="str">
        <f>HYPERLINK("https%3A%2F%2Fwww.webofscience.com%2Fwos%2Fwoscc%2Ffull-record%2FWOS:000073274700005","View Full Record in Web of Science")</f>
        <v>View Full Record in Web of Science</v>
      </c>
    </row>
    <row r="92" spans="1:72" x14ac:dyDescent="0.15">
      <c r="A92" t="s">
        <v>72</v>
      </c>
      <c r="B92" t="s">
        <v>1492</v>
      </c>
      <c r="C92" t="s">
        <v>74</v>
      </c>
      <c r="D92" t="s">
        <v>74</v>
      </c>
      <c r="E92" t="s">
        <v>74</v>
      </c>
      <c r="F92" t="s">
        <v>1492</v>
      </c>
      <c r="G92" t="s">
        <v>74</v>
      </c>
      <c r="H92" t="s">
        <v>74</v>
      </c>
      <c r="I92" t="s">
        <v>1493</v>
      </c>
      <c r="J92" t="s">
        <v>1494</v>
      </c>
      <c r="K92" t="s">
        <v>74</v>
      </c>
      <c r="L92" t="s">
        <v>74</v>
      </c>
      <c r="M92" t="s">
        <v>77</v>
      </c>
      <c r="N92" t="s">
        <v>78</v>
      </c>
      <c r="O92" t="s">
        <v>74</v>
      </c>
      <c r="P92" t="s">
        <v>74</v>
      </c>
      <c r="Q92" t="s">
        <v>74</v>
      </c>
      <c r="R92" t="s">
        <v>74</v>
      </c>
      <c r="S92" t="s">
        <v>74</v>
      </c>
      <c r="T92" t="s">
        <v>74</v>
      </c>
      <c r="U92" t="s">
        <v>1495</v>
      </c>
      <c r="V92" t="s">
        <v>1496</v>
      </c>
      <c r="W92" t="s">
        <v>1497</v>
      </c>
      <c r="X92" t="s">
        <v>1498</v>
      </c>
      <c r="Y92" t="s">
        <v>1499</v>
      </c>
      <c r="Z92" t="s">
        <v>1500</v>
      </c>
      <c r="AA92" t="s">
        <v>1501</v>
      </c>
      <c r="AB92" t="s">
        <v>1502</v>
      </c>
      <c r="AC92" t="s">
        <v>74</v>
      </c>
      <c r="AD92" t="s">
        <v>74</v>
      </c>
      <c r="AE92" t="s">
        <v>74</v>
      </c>
      <c r="AF92" t="s">
        <v>74</v>
      </c>
      <c r="AG92">
        <v>35</v>
      </c>
      <c r="AH92">
        <v>82</v>
      </c>
      <c r="AI92">
        <v>86</v>
      </c>
      <c r="AJ92">
        <v>3</v>
      </c>
      <c r="AK92">
        <v>12</v>
      </c>
      <c r="AL92" t="s">
        <v>451</v>
      </c>
      <c r="AM92" t="s">
        <v>214</v>
      </c>
      <c r="AN92" t="s">
        <v>452</v>
      </c>
      <c r="AO92" t="s">
        <v>1503</v>
      </c>
      <c r="AP92" t="s">
        <v>1504</v>
      </c>
      <c r="AQ92" t="s">
        <v>74</v>
      </c>
      <c r="AR92" t="s">
        <v>1505</v>
      </c>
      <c r="AS92" t="s">
        <v>1506</v>
      </c>
      <c r="AT92" t="s">
        <v>1507</v>
      </c>
      <c r="AU92">
        <v>1998</v>
      </c>
      <c r="AV92">
        <v>45</v>
      </c>
      <c r="AW92" t="s">
        <v>1508</v>
      </c>
      <c r="AX92" t="s">
        <v>74</v>
      </c>
      <c r="AY92" t="s">
        <v>74</v>
      </c>
      <c r="AZ92" t="s">
        <v>74</v>
      </c>
      <c r="BA92" t="s">
        <v>74</v>
      </c>
      <c r="BB92">
        <v>217</v>
      </c>
      <c r="BC92">
        <v>238</v>
      </c>
      <c r="BD92" t="s">
        <v>74</v>
      </c>
      <c r="BE92" t="s">
        <v>1509</v>
      </c>
      <c r="BF92" t="str">
        <f>HYPERLINK("http://dx.doi.org/10.1016/S0967-0637(97)00081-2","http://dx.doi.org/10.1016/S0967-0637(97)00081-2")</f>
        <v>http://dx.doi.org/10.1016/S0967-0637(97)00081-2</v>
      </c>
      <c r="BG92" t="s">
        <v>74</v>
      </c>
      <c r="BH92" t="s">
        <v>74</v>
      </c>
      <c r="BI92">
        <v>22</v>
      </c>
      <c r="BJ92" t="s">
        <v>97</v>
      </c>
      <c r="BK92" t="s">
        <v>98</v>
      </c>
      <c r="BL92" t="s">
        <v>97</v>
      </c>
      <c r="BM92" t="s">
        <v>1510</v>
      </c>
      <c r="BN92" t="s">
        <v>74</v>
      </c>
      <c r="BO92" t="s">
        <v>74</v>
      </c>
      <c r="BP92" t="s">
        <v>74</v>
      </c>
      <c r="BQ92" t="s">
        <v>74</v>
      </c>
      <c r="BR92" t="s">
        <v>101</v>
      </c>
      <c r="BS92" t="s">
        <v>1511</v>
      </c>
      <c r="BT92" t="str">
        <f>HYPERLINK("https%3A%2F%2Fwww.webofscience.com%2Fwos%2Fwoscc%2Ffull-record%2FWOS:000074794300002","View Full Record in Web of Science")</f>
        <v>View Full Record in Web of Science</v>
      </c>
    </row>
    <row r="93" spans="1:72" x14ac:dyDescent="0.15">
      <c r="A93" t="s">
        <v>72</v>
      </c>
      <c r="B93" t="s">
        <v>1512</v>
      </c>
      <c r="C93" t="s">
        <v>74</v>
      </c>
      <c r="D93" t="s">
        <v>74</v>
      </c>
      <c r="E93" t="s">
        <v>74</v>
      </c>
      <c r="F93" t="s">
        <v>1512</v>
      </c>
      <c r="G93" t="s">
        <v>74</v>
      </c>
      <c r="H93" t="s">
        <v>74</v>
      </c>
      <c r="I93" t="s">
        <v>1513</v>
      </c>
      <c r="J93" t="s">
        <v>1494</v>
      </c>
      <c r="K93" t="s">
        <v>74</v>
      </c>
      <c r="L93" t="s">
        <v>74</v>
      </c>
      <c r="M93" t="s">
        <v>77</v>
      </c>
      <c r="N93" t="s">
        <v>78</v>
      </c>
      <c r="O93" t="s">
        <v>74</v>
      </c>
      <c r="P93" t="s">
        <v>74</v>
      </c>
      <c r="Q93" t="s">
        <v>74</v>
      </c>
      <c r="R93" t="s">
        <v>74</v>
      </c>
      <c r="S93" t="s">
        <v>74</v>
      </c>
      <c r="T93" t="s">
        <v>74</v>
      </c>
      <c r="U93" t="s">
        <v>1514</v>
      </c>
      <c r="V93" t="s">
        <v>1515</v>
      </c>
      <c r="W93" t="s">
        <v>1516</v>
      </c>
      <c r="X93" t="s">
        <v>1517</v>
      </c>
      <c r="Y93" t="s">
        <v>1518</v>
      </c>
      <c r="Z93" t="s">
        <v>74</v>
      </c>
      <c r="AA93" t="s">
        <v>1519</v>
      </c>
      <c r="AB93" t="s">
        <v>1520</v>
      </c>
      <c r="AC93" t="s">
        <v>74</v>
      </c>
      <c r="AD93" t="s">
        <v>74</v>
      </c>
      <c r="AE93" t="s">
        <v>74</v>
      </c>
      <c r="AF93" t="s">
        <v>74</v>
      </c>
      <c r="AG93">
        <v>63</v>
      </c>
      <c r="AH93">
        <v>21</v>
      </c>
      <c r="AI93">
        <v>24</v>
      </c>
      <c r="AJ93">
        <v>3</v>
      </c>
      <c r="AK93">
        <v>23</v>
      </c>
      <c r="AL93" t="s">
        <v>451</v>
      </c>
      <c r="AM93" t="s">
        <v>214</v>
      </c>
      <c r="AN93" t="s">
        <v>452</v>
      </c>
      <c r="AO93" t="s">
        <v>1503</v>
      </c>
      <c r="AP93" t="s">
        <v>74</v>
      </c>
      <c r="AQ93" t="s">
        <v>74</v>
      </c>
      <c r="AR93" t="s">
        <v>1505</v>
      </c>
      <c r="AS93" t="s">
        <v>1506</v>
      </c>
      <c r="AT93" t="s">
        <v>1507</v>
      </c>
      <c r="AU93">
        <v>1998</v>
      </c>
      <c r="AV93">
        <v>45</v>
      </c>
      <c r="AW93" t="s">
        <v>1508</v>
      </c>
      <c r="AX93" t="s">
        <v>74</v>
      </c>
      <c r="AY93" t="s">
        <v>74</v>
      </c>
      <c r="AZ93" t="s">
        <v>74</v>
      </c>
      <c r="BA93" t="s">
        <v>74</v>
      </c>
      <c r="BB93">
        <v>317</v>
      </c>
      <c r="BC93">
        <v>332</v>
      </c>
      <c r="BD93" t="s">
        <v>74</v>
      </c>
      <c r="BE93" t="s">
        <v>1521</v>
      </c>
      <c r="BF93" t="str">
        <f>HYPERLINK("http://dx.doi.org/10.1016/S0967-0637(97)00076-9","http://dx.doi.org/10.1016/S0967-0637(97)00076-9")</f>
        <v>http://dx.doi.org/10.1016/S0967-0637(97)00076-9</v>
      </c>
      <c r="BG93" t="s">
        <v>74</v>
      </c>
      <c r="BH93" t="s">
        <v>74</v>
      </c>
      <c r="BI93">
        <v>16</v>
      </c>
      <c r="BJ93" t="s">
        <v>97</v>
      </c>
      <c r="BK93" t="s">
        <v>98</v>
      </c>
      <c r="BL93" t="s">
        <v>97</v>
      </c>
      <c r="BM93" t="s">
        <v>1510</v>
      </c>
      <c r="BN93" t="s">
        <v>74</v>
      </c>
      <c r="BO93" t="s">
        <v>74</v>
      </c>
      <c r="BP93" t="s">
        <v>74</v>
      </c>
      <c r="BQ93" t="s">
        <v>74</v>
      </c>
      <c r="BR93" t="s">
        <v>101</v>
      </c>
      <c r="BS93" t="s">
        <v>1522</v>
      </c>
      <c r="BT93" t="str">
        <f>HYPERLINK("https%3A%2F%2Fwww.webofscience.com%2Fwos%2Fwoscc%2Ffull-record%2FWOS:000074794300006","View Full Record in Web of Science")</f>
        <v>View Full Record in Web of Science</v>
      </c>
    </row>
    <row r="94" spans="1:72" x14ac:dyDescent="0.15">
      <c r="A94" t="s">
        <v>72</v>
      </c>
      <c r="B94" t="s">
        <v>1523</v>
      </c>
      <c r="C94" t="s">
        <v>74</v>
      </c>
      <c r="D94" t="s">
        <v>74</v>
      </c>
      <c r="E94" t="s">
        <v>74</v>
      </c>
      <c r="F94" t="s">
        <v>1523</v>
      </c>
      <c r="G94" t="s">
        <v>74</v>
      </c>
      <c r="H94" t="s">
        <v>74</v>
      </c>
      <c r="I94" t="s">
        <v>1524</v>
      </c>
      <c r="J94" t="s">
        <v>1525</v>
      </c>
      <c r="K94" t="s">
        <v>74</v>
      </c>
      <c r="L94" t="s">
        <v>74</v>
      </c>
      <c r="M94" t="s">
        <v>77</v>
      </c>
      <c r="N94" t="s">
        <v>379</v>
      </c>
      <c r="O94" t="s">
        <v>1526</v>
      </c>
      <c r="P94" t="s">
        <v>1527</v>
      </c>
      <c r="Q94" t="s">
        <v>1528</v>
      </c>
      <c r="R94" t="s">
        <v>74</v>
      </c>
      <c r="S94" t="s">
        <v>74</v>
      </c>
      <c r="T94" t="s">
        <v>1529</v>
      </c>
      <c r="U94" t="s">
        <v>1530</v>
      </c>
      <c r="V94" t="s">
        <v>1531</v>
      </c>
      <c r="W94" t="s">
        <v>1532</v>
      </c>
      <c r="X94" t="s">
        <v>1533</v>
      </c>
      <c r="Y94" t="s">
        <v>1534</v>
      </c>
      <c r="Z94" t="s">
        <v>74</v>
      </c>
      <c r="AA94" t="s">
        <v>74</v>
      </c>
      <c r="AB94" t="s">
        <v>74</v>
      </c>
      <c r="AC94" t="s">
        <v>74</v>
      </c>
      <c r="AD94" t="s">
        <v>74</v>
      </c>
      <c r="AE94" t="s">
        <v>74</v>
      </c>
      <c r="AF94" t="s">
        <v>74</v>
      </c>
      <c r="AG94">
        <v>67</v>
      </c>
      <c r="AH94">
        <v>83</v>
      </c>
      <c r="AI94">
        <v>93</v>
      </c>
      <c r="AJ94">
        <v>1</v>
      </c>
      <c r="AK94">
        <v>29</v>
      </c>
      <c r="AL94" t="s">
        <v>1535</v>
      </c>
      <c r="AM94" t="s">
        <v>88</v>
      </c>
      <c r="AN94" t="s">
        <v>1536</v>
      </c>
      <c r="AO94" t="s">
        <v>1537</v>
      </c>
      <c r="AP94" t="s">
        <v>74</v>
      </c>
      <c r="AQ94" t="s">
        <v>74</v>
      </c>
      <c r="AR94" t="s">
        <v>1538</v>
      </c>
      <c r="AS94" t="s">
        <v>1539</v>
      </c>
      <c r="AT94" t="s">
        <v>1222</v>
      </c>
      <c r="AU94">
        <v>1998</v>
      </c>
      <c r="AV94">
        <v>8</v>
      </c>
      <c r="AW94">
        <v>1</v>
      </c>
      <c r="AX94" t="s">
        <v>74</v>
      </c>
      <c r="AY94" t="s">
        <v>1540</v>
      </c>
      <c r="AZ94" t="s">
        <v>74</v>
      </c>
      <c r="BA94" t="s">
        <v>74</v>
      </c>
      <c r="BB94" t="s">
        <v>1541</v>
      </c>
      <c r="BC94" t="s">
        <v>1542</v>
      </c>
      <c r="BD94" t="s">
        <v>74</v>
      </c>
      <c r="BE94" t="s">
        <v>1543</v>
      </c>
      <c r="BF94" t="str">
        <f>HYPERLINK("http://dx.doi.org/10.1890/1051-0761(1998)8[S23:EVEOMF]2.0.CO;2","http://dx.doi.org/10.1890/1051-0761(1998)8[S23:EVEOMF]2.0.CO;2")</f>
        <v>http://dx.doi.org/10.1890/1051-0761(1998)8[S23:EVEOMF]2.0.CO;2</v>
      </c>
      <c r="BG94" t="s">
        <v>74</v>
      </c>
      <c r="BH94" t="s">
        <v>74</v>
      </c>
      <c r="BI94">
        <v>10</v>
      </c>
      <c r="BJ94" t="s">
        <v>1544</v>
      </c>
      <c r="BK94" t="s">
        <v>397</v>
      </c>
      <c r="BL94" t="s">
        <v>1545</v>
      </c>
      <c r="BM94" t="s">
        <v>1546</v>
      </c>
      <c r="BN94" t="s">
        <v>74</v>
      </c>
      <c r="BO94" t="s">
        <v>637</v>
      </c>
      <c r="BP94" t="s">
        <v>74</v>
      </c>
      <c r="BQ94" t="s">
        <v>74</v>
      </c>
      <c r="BR94" t="s">
        <v>101</v>
      </c>
      <c r="BS94" t="s">
        <v>1547</v>
      </c>
      <c r="BT94" t="str">
        <f>HYPERLINK("https%3A%2F%2Fwww.webofscience.com%2Fwos%2Fwoscc%2Ffull-record%2FWOS:000072166600004","View Full Record in Web of Science")</f>
        <v>View Full Record in Web of Science</v>
      </c>
    </row>
    <row r="95" spans="1:72" x14ac:dyDescent="0.15">
      <c r="A95" t="s">
        <v>72</v>
      </c>
      <c r="B95" t="s">
        <v>1548</v>
      </c>
      <c r="C95" t="s">
        <v>74</v>
      </c>
      <c r="D95" t="s">
        <v>74</v>
      </c>
      <c r="E95" t="s">
        <v>74</v>
      </c>
      <c r="F95" t="s">
        <v>1548</v>
      </c>
      <c r="G95" t="s">
        <v>74</v>
      </c>
      <c r="H95" t="s">
        <v>74</v>
      </c>
      <c r="I95" t="s">
        <v>1549</v>
      </c>
      <c r="J95" t="s">
        <v>1550</v>
      </c>
      <c r="K95" t="s">
        <v>74</v>
      </c>
      <c r="L95" t="s">
        <v>74</v>
      </c>
      <c r="M95" t="s">
        <v>77</v>
      </c>
      <c r="N95" t="s">
        <v>379</v>
      </c>
      <c r="O95" t="s">
        <v>1551</v>
      </c>
      <c r="P95" t="s">
        <v>1552</v>
      </c>
      <c r="Q95" t="s">
        <v>1553</v>
      </c>
      <c r="R95" t="s">
        <v>74</v>
      </c>
      <c r="S95" t="s">
        <v>74</v>
      </c>
      <c r="T95" t="s">
        <v>74</v>
      </c>
      <c r="U95" t="s">
        <v>74</v>
      </c>
      <c r="V95" t="s">
        <v>1554</v>
      </c>
      <c r="W95" t="s">
        <v>1555</v>
      </c>
      <c r="X95" t="s">
        <v>1556</v>
      </c>
      <c r="Y95" t="s">
        <v>1557</v>
      </c>
      <c r="Z95" t="s">
        <v>74</v>
      </c>
      <c r="AA95" t="s">
        <v>1558</v>
      </c>
      <c r="AB95" t="s">
        <v>1559</v>
      </c>
      <c r="AC95" t="s">
        <v>74</v>
      </c>
      <c r="AD95" t="s">
        <v>74</v>
      </c>
      <c r="AE95" t="s">
        <v>74</v>
      </c>
      <c r="AF95" t="s">
        <v>74</v>
      </c>
      <c r="AG95">
        <v>12</v>
      </c>
      <c r="AH95">
        <v>15</v>
      </c>
      <c r="AI95">
        <v>16</v>
      </c>
      <c r="AJ95">
        <v>0</v>
      </c>
      <c r="AK95">
        <v>1</v>
      </c>
      <c r="AL95" t="s">
        <v>897</v>
      </c>
      <c r="AM95" t="s">
        <v>244</v>
      </c>
      <c r="AN95" t="s">
        <v>898</v>
      </c>
      <c r="AO95" t="s">
        <v>1560</v>
      </c>
      <c r="AP95" t="s">
        <v>74</v>
      </c>
      <c r="AQ95" t="s">
        <v>74</v>
      </c>
      <c r="AR95" t="s">
        <v>1561</v>
      </c>
      <c r="AS95" t="s">
        <v>1562</v>
      </c>
      <c r="AT95" t="s">
        <v>1222</v>
      </c>
      <c r="AU95">
        <v>1998</v>
      </c>
      <c r="AV95">
        <v>360</v>
      </c>
      <c r="AW95" t="s">
        <v>694</v>
      </c>
      <c r="AX95" t="s">
        <v>74</v>
      </c>
      <c r="AY95" t="s">
        <v>74</v>
      </c>
      <c r="AZ95" t="s">
        <v>74</v>
      </c>
      <c r="BA95" t="s">
        <v>74</v>
      </c>
      <c r="BB95">
        <v>410</v>
      </c>
      <c r="BC95">
        <v>414</v>
      </c>
      <c r="BD95" t="s">
        <v>74</v>
      </c>
      <c r="BE95" t="s">
        <v>1563</v>
      </c>
      <c r="BF95" t="str">
        <f>HYPERLINK("http://dx.doi.org/10.1007/s002160050724","http://dx.doi.org/10.1007/s002160050724")</f>
        <v>http://dx.doi.org/10.1007/s002160050724</v>
      </c>
      <c r="BG95" t="s">
        <v>74</v>
      </c>
      <c r="BH95" t="s">
        <v>74</v>
      </c>
      <c r="BI95">
        <v>5</v>
      </c>
      <c r="BJ95" t="s">
        <v>1564</v>
      </c>
      <c r="BK95" t="s">
        <v>397</v>
      </c>
      <c r="BL95" t="s">
        <v>398</v>
      </c>
      <c r="BM95" t="s">
        <v>1565</v>
      </c>
      <c r="BN95" t="s">
        <v>74</v>
      </c>
      <c r="BO95" t="s">
        <v>74</v>
      </c>
      <c r="BP95" t="s">
        <v>74</v>
      </c>
      <c r="BQ95" t="s">
        <v>74</v>
      </c>
      <c r="BR95" t="s">
        <v>101</v>
      </c>
      <c r="BS95" t="s">
        <v>1566</v>
      </c>
      <c r="BT95" t="str">
        <f>HYPERLINK("https%3A%2F%2Fwww.webofscience.com%2Fwos%2Fwoscc%2Ffull-record%2FWOS:000072457700034","View Full Record in Web of Science")</f>
        <v>View Full Record in Web of Science</v>
      </c>
    </row>
    <row r="96" spans="1:72" x14ac:dyDescent="0.15">
      <c r="A96" t="s">
        <v>72</v>
      </c>
      <c r="B96" t="s">
        <v>1567</v>
      </c>
      <c r="C96" t="s">
        <v>74</v>
      </c>
      <c r="D96" t="s">
        <v>74</v>
      </c>
      <c r="E96" t="s">
        <v>74</v>
      </c>
      <c r="F96" t="s">
        <v>1567</v>
      </c>
      <c r="G96" t="s">
        <v>74</v>
      </c>
      <c r="H96" t="s">
        <v>74</v>
      </c>
      <c r="I96" t="s">
        <v>1568</v>
      </c>
      <c r="J96" t="s">
        <v>461</v>
      </c>
      <c r="K96" t="s">
        <v>74</v>
      </c>
      <c r="L96" t="s">
        <v>74</v>
      </c>
      <c r="M96" t="s">
        <v>77</v>
      </c>
      <c r="N96" t="s">
        <v>78</v>
      </c>
      <c r="O96" t="s">
        <v>74</v>
      </c>
      <c r="P96" t="s">
        <v>74</v>
      </c>
      <c r="Q96" t="s">
        <v>74</v>
      </c>
      <c r="R96" t="s">
        <v>74</v>
      </c>
      <c r="S96" t="s">
        <v>74</v>
      </c>
      <c r="T96" t="s">
        <v>74</v>
      </c>
      <c r="U96" t="s">
        <v>1569</v>
      </c>
      <c r="V96" t="s">
        <v>1570</v>
      </c>
      <c r="W96" t="s">
        <v>1571</v>
      </c>
      <c r="X96" t="s">
        <v>1572</v>
      </c>
      <c r="Y96" t="s">
        <v>1573</v>
      </c>
      <c r="Z96" t="s">
        <v>74</v>
      </c>
      <c r="AA96" t="s">
        <v>1574</v>
      </c>
      <c r="AB96" t="s">
        <v>1575</v>
      </c>
      <c r="AC96" t="s">
        <v>74</v>
      </c>
      <c r="AD96" t="s">
        <v>74</v>
      </c>
      <c r="AE96" t="s">
        <v>74</v>
      </c>
      <c r="AF96" t="s">
        <v>74</v>
      </c>
      <c r="AG96">
        <v>32</v>
      </c>
      <c r="AH96">
        <v>39</v>
      </c>
      <c r="AI96">
        <v>45</v>
      </c>
      <c r="AJ96">
        <v>0</v>
      </c>
      <c r="AK96">
        <v>24</v>
      </c>
      <c r="AL96" t="s">
        <v>467</v>
      </c>
      <c r="AM96" t="s">
        <v>468</v>
      </c>
      <c r="AN96" t="s">
        <v>469</v>
      </c>
      <c r="AO96" t="s">
        <v>470</v>
      </c>
      <c r="AP96" t="s">
        <v>74</v>
      </c>
      <c r="AQ96" t="s">
        <v>74</v>
      </c>
      <c r="AR96" t="s">
        <v>461</v>
      </c>
      <c r="AS96" t="s">
        <v>471</v>
      </c>
      <c r="AT96" t="s">
        <v>1222</v>
      </c>
      <c r="AU96">
        <v>1998</v>
      </c>
      <c r="AV96">
        <v>26</v>
      </c>
      <c r="AW96">
        <v>2</v>
      </c>
      <c r="AX96" t="s">
        <v>74</v>
      </c>
      <c r="AY96" t="s">
        <v>74</v>
      </c>
      <c r="AZ96" t="s">
        <v>74</v>
      </c>
      <c r="BA96" t="s">
        <v>74</v>
      </c>
      <c r="BB96">
        <v>179</v>
      </c>
      <c r="BC96">
        <v>182</v>
      </c>
      <c r="BD96" t="s">
        <v>74</v>
      </c>
      <c r="BE96" t="s">
        <v>1576</v>
      </c>
      <c r="BF96" t="str">
        <f>HYPERLINK("http://dx.doi.org/10.1130/0091-7613(1998)026&lt;0179:ATOGSO&gt;2.3.CO;2","http://dx.doi.org/10.1130/0091-7613(1998)026&lt;0179:ATOGSO&gt;2.3.CO;2")</f>
        <v>http://dx.doi.org/10.1130/0091-7613(1998)026&lt;0179:ATOGSO&gt;2.3.CO;2</v>
      </c>
      <c r="BG96" t="s">
        <v>74</v>
      </c>
      <c r="BH96" t="s">
        <v>74</v>
      </c>
      <c r="BI96">
        <v>4</v>
      </c>
      <c r="BJ96" t="s">
        <v>471</v>
      </c>
      <c r="BK96" t="s">
        <v>98</v>
      </c>
      <c r="BL96" t="s">
        <v>471</v>
      </c>
      <c r="BM96" t="s">
        <v>1577</v>
      </c>
      <c r="BN96" t="s">
        <v>74</v>
      </c>
      <c r="BO96" t="s">
        <v>74</v>
      </c>
      <c r="BP96" t="s">
        <v>74</v>
      </c>
      <c r="BQ96" t="s">
        <v>74</v>
      </c>
      <c r="BR96" t="s">
        <v>101</v>
      </c>
      <c r="BS96" t="s">
        <v>1578</v>
      </c>
      <c r="BT96" t="str">
        <f>HYPERLINK("https%3A%2F%2Fwww.webofscience.com%2Fwos%2Fwoscc%2Ffull-record%2FWOS:000071924000021","View Full Record in Web of Science")</f>
        <v>View Full Record in Web of Science</v>
      </c>
    </row>
    <row r="97" spans="1:72" x14ac:dyDescent="0.15">
      <c r="A97" t="s">
        <v>72</v>
      </c>
      <c r="B97" t="s">
        <v>1579</v>
      </c>
      <c r="C97" t="s">
        <v>74</v>
      </c>
      <c r="D97" t="s">
        <v>74</v>
      </c>
      <c r="E97" t="s">
        <v>74</v>
      </c>
      <c r="F97" t="s">
        <v>1579</v>
      </c>
      <c r="G97" t="s">
        <v>74</v>
      </c>
      <c r="H97" t="s">
        <v>74</v>
      </c>
      <c r="I97" t="s">
        <v>1580</v>
      </c>
      <c r="J97" t="s">
        <v>1581</v>
      </c>
      <c r="K97" t="s">
        <v>74</v>
      </c>
      <c r="L97" t="s">
        <v>74</v>
      </c>
      <c r="M97" t="s">
        <v>77</v>
      </c>
      <c r="N97" t="s">
        <v>78</v>
      </c>
      <c r="O97" t="s">
        <v>74</v>
      </c>
      <c r="P97" t="s">
        <v>74</v>
      </c>
      <c r="Q97" t="s">
        <v>74</v>
      </c>
      <c r="R97" t="s">
        <v>74</v>
      </c>
      <c r="S97" t="s">
        <v>74</v>
      </c>
      <c r="T97" t="s">
        <v>74</v>
      </c>
      <c r="U97" t="s">
        <v>1582</v>
      </c>
      <c r="V97" t="s">
        <v>1583</v>
      </c>
      <c r="W97" t="s">
        <v>1584</v>
      </c>
      <c r="X97" t="s">
        <v>1585</v>
      </c>
      <c r="Y97" t="s">
        <v>1586</v>
      </c>
      <c r="Z97" t="s">
        <v>74</v>
      </c>
      <c r="AA97" t="s">
        <v>1587</v>
      </c>
      <c r="AB97" t="s">
        <v>1588</v>
      </c>
      <c r="AC97" t="s">
        <v>74</v>
      </c>
      <c r="AD97" t="s">
        <v>74</v>
      </c>
      <c r="AE97" t="s">
        <v>74</v>
      </c>
      <c r="AF97" t="s">
        <v>74</v>
      </c>
      <c r="AG97">
        <v>12</v>
      </c>
      <c r="AH97">
        <v>3</v>
      </c>
      <c r="AI97">
        <v>3</v>
      </c>
      <c r="AJ97">
        <v>0</v>
      </c>
      <c r="AK97">
        <v>0</v>
      </c>
      <c r="AL97" t="s">
        <v>87</v>
      </c>
      <c r="AM97" t="s">
        <v>88</v>
      </c>
      <c r="AN97" t="s">
        <v>89</v>
      </c>
      <c r="AO97" t="s">
        <v>1589</v>
      </c>
      <c r="AP97" t="s">
        <v>74</v>
      </c>
      <c r="AQ97" t="s">
        <v>74</v>
      </c>
      <c r="AR97" t="s">
        <v>1590</v>
      </c>
      <c r="AS97" t="s">
        <v>1591</v>
      </c>
      <c r="AT97" t="s">
        <v>1592</v>
      </c>
      <c r="AU97">
        <v>1998</v>
      </c>
      <c r="AV97">
        <v>25</v>
      </c>
      <c r="AW97">
        <v>3</v>
      </c>
      <c r="AX97" t="s">
        <v>74</v>
      </c>
      <c r="AY97" t="s">
        <v>74</v>
      </c>
      <c r="AZ97" t="s">
        <v>74</v>
      </c>
      <c r="BA97" t="s">
        <v>74</v>
      </c>
      <c r="BB97">
        <v>281</v>
      </c>
      <c r="BC97">
        <v>284</v>
      </c>
      <c r="BD97" t="s">
        <v>74</v>
      </c>
      <c r="BE97" t="s">
        <v>1593</v>
      </c>
      <c r="BF97" t="str">
        <f>HYPERLINK("http://dx.doi.org/10.1029/97GL03777","http://dx.doi.org/10.1029/97GL03777")</f>
        <v>http://dx.doi.org/10.1029/97GL03777</v>
      </c>
      <c r="BG97" t="s">
        <v>74</v>
      </c>
      <c r="BH97" t="s">
        <v>74</v>
      </c>
      <c r="BI97">
        <v>4</v>
      </c>
      <c r="BJ97" t="s">
        <v>769</v>
      </c>
      <c r="BK97" t="s">
        <v>98</v>
      </c>
      <c r="BL97" t="s">
        <v>471</v>
      </c>
      <c r="BM97" t="s">
        <v>1594</v>
      </c>
      <c r="BN97" t="s">
        <v>74</v>
      </c>
      <c r="BO97" t="s">
        <v>100</v>
      </c>
      <c r="BP97" t="s">
        <v>74</v>
      </c>
      <c r="BQ97" t="s">
        <v>74</v>
      </c>
      <c r="BR97" t="s">
        <v>101</v>
      </c>
      <c r="BS97" t="s">
        <v>1595</v>
      </c>
      <c r="BT97" t="str">
        <f>HYPERLINK("https%3A%2F%2Fwww.webofscience.com%2Fwos%2Fwoscc%2Ffull-record%2FWOS:000071848000015","View Full Record in Web of Science")</f>
        <v>View Full Record in Web of Science</v>
      </c>
    </row>
    <row r="98" spans="1:72" x14ac:dyDescent="0.15">
      <c r="A98" t="s">
        <v>72</v>
      </c>
      <c r="B98" t="s">
        <v>1596</v>
      </c>
      <c r="C98" t="s">
        <v>74</v>
      </c>
      <c r="D98" t="s">
        <v>74</v>
      </c>
      <c r="E98" t="s">
        <v>74</v>
      </c>
      <c r="F98" t="s">
        <v>1596</v>
      </c>
      <c r="G98" t="s">
        <v>74</v>
      </c>
      <c r="H98" t="s">
        <v>74</v>
      </c>
      <c r="I98" t="s">
        <v>1597</v>
      </c>
      <c r="J98" t="s">
        <v>1581</v>
      </c>
      <c r="K98" t="s">
        <v>74</v>
      </c>
      <c r="L98" t="s">
        <v>74</v>
      </c>
      <c r="M98" t="s">
        <v>77</v>
      </c>
      <c r="N98" t="s">
        <v>78</v>
      </c>
      <c r="O98" t="s">
        <v>74</v>
      </c>
      <c r="P98" t="s">
        <v>74</v>
      </c>
      <c r="Q98" t="s">
        <v>74</v>
      </c>
      <c r="R98" t="s">
        <v>74</v>
      </c>
      <c r="S98" t="s">
        <v>74</v>
      </c>
      <c r="T98" t="s">
        <v>74</v>
      </c>
      <c r="U98" t="s">
        <v>1598</v>
      </c>
      <c r="V98" t="s">
        <v>1599</v>
      </c>
      <c r="W98" t="s">
        <v>1600</v>
      </c>
      <c r="X98" t="s">
        <v>1601</v>
      </c>
      <c r="Y98" t="s">
        <v>1602</v>
      </c>
      <c r="Z98" t="s">
        <v>74</v>
      </c>
      <c r="AA98" t="s">
        <v>74</v>
      </c>
      <c r="AB98" t="s">
        <v>74</v>
      </c>
      <c r="AC98" t="s">
        <v>74</v>
      </c>
      <c r="AD98" t="s">
        <v>74</v>
      </c>
      <c r="AE98" t="s">
        <v>74</v>
      </c>
      <c r="AF98" t="s">
        <v>74</v>
      </c>
      <c r="AG98">
        <v>11</v>
      </c>
      <c r="AH98">
        <v>21</v>
      </c>
      <c r="AI98">
        <v>23</v>
      </c>
      <c r="AJ98">
        <v>0</v>
      </c>
      <c r="AK98">
        <v>1</v>
      </c>
      <c r="AL98" t="s">
        <v>87</v>
      </c>
      <c r="AM98" t="s">
        <v>88</v>
      </c>
      <c r="AN98" t="s">
        <v>89</v>
      </c>
      <c r="AO98" t="s">
        <v>1589</v>
      </c>
      <c r="AP98" t="s">
        <v>74</v>
      </c>
      <c r="AQ98" t="s">
        <v>74</v>
      </c>
      <c r="AR98" t="s">
        <v>1590</v>
      </c>
      <c r="AS98" t="s">
        <v>1591</v>
      </c>
      <c r="AT98" t="s">
        <v>1592</v>
      </c>
      <c r="AU98">
        <v>1998</v>
      </c>
      <c r="AV98">
        <v>25</v>
      </c>
      <c r="AW98">
        <v>3</v>
      </c>
      <c r="AX98" t="s">
        <v>74</v>
      </c>
      <c r="AY98" t="s">
        <v>74</v>
      </c>
      <c r="AZ98" t="s">
        <v>74</v>
      </c>
      <c r="BA98" t="s">
        <v>74</v>
      </c>
      <c r="BB98">
        <v>301</v>
      </c>
      <c r="BC98">
        <v>304</v>
      </c>
      <c r="BD98" t="s">
        <v>74</v>
      </c>
      <c r="BE98" t="s">
        <v>1603</v>
      </c>
      <c r="BF98" t="str">
        <f>HYPERLINK("http://dx.doi.org/10.1029/97GL03643","http://dx.doi.org/10.1029/97GL03643")</f>
        <v>http://dx.doi.org/10.1029/97GL03643</v>
      </c>
      <c r="BG98" t="s">
        <v>74</v>
      </c>
      <c r="BH98" t="s">
        <v>74</v>
      </c>
      <c r="BI98">
        <v>4</v>
      </c>
      <c r="BJ98" t="s">
        <v>769</v>
      </c>
      <c r="BK98" t="s">
        <v>98</v>
      </c>
      <c r="BL98" t="s">
        <v>471</v>
      </c>
      <c r="BM98" t="s">
        <v>1594</v>
      </c>
      <c r="BN98" t="s">
        <v>74</v>
      </c>
      <c r="BO98" t="s">
        <v>100</v>
      </c>
      <c r="BP98" t="s">
        <v>74</v>
      </c>
      <c r="BQ98" t="s">
        <v>74</v>
      </c>
      <c r="BR98" t="s">
        <v>101</v>
      </c>
      <c r="BS98" t="s">
        <v>1604</v>
      </c>
      <c r="BT98" t="str">
        <f>HYPERLINK("https%3A%2F%2Fwww.webofscience.com%2Fwos%2Fwoscc%2Ffull-record%2FWOS:000071848000020","View Full Record in Web of Science")</f>
        <v>View Full Record in Web of Science</v>
      </c>
    </row>
    <row r="99" spans="1:72" x14ac:dyDescent="0.15">
      <c r="A99" t="s">
        <v>72</v>
      </c>
      <c r="B99" t="s">
        <v>1605</v>
      </c>
      <c r="C99" t="s">
        <v>74</v>
      </c>
      <c r="D99" t="s">
        <v>74</v>
      </c>
      <c r="E99" t="s">
        <v>74</v>
      </c>
      <c r="F99" t="s">
        <v>1605</v>
      </c>
      <c r="G99" t="s">
        <v>74</v>
      </c>
      <c r="H99" t="s">
        <v>74</v>
      </c>
      <c r="I99" t="s">
        <v>1606</v>
      </c>
      <c r="J99" t="s">
        <v>1607</v>
      </c>
      <c r="K99" t="s">
        <v>74</v>
      </c>
      <c r="L99" t="s">
        <v>74</v>
      </c>
      <c r="M99" t="s">
        <v>77</v>
      </c>
      <c r="N99" t="s">
        <v>78</v>
      </c>
      <c r="O99" t="s">
        <v>74</v>
      </c>
      <c r="P99" t="s">
        <v>74</v>
      </c>
      <c r="Q99" t="s">
        <v>74</v>
      </c>
      <c r="R99" t="s">
        <v>74</v>
      </c>
      <c r="S99" t="s">
        <v>74</v>
      </c>
      <c r="T99" t="s">
        <v>74</v>
      </c>
      <c r="U99" t="s">
        <v>74</v>
      </c>
      <c r="V99" t="s">
        <v>1608</v>
      </c>
      <c r="W99" t="s">
        <v>1609</v>
      </c>
      <c r="X99" t="s">
        <v>1610</v>
      </c>
      <c r="Y99" t="s">
        <v>1611</v>
      </c>
      <c r="Z99" t="s">
        <v>74</v>
      </c>
      <c r="AA99" t="s">
        <v>74</v>
      </c>
      <c r="AB99" t="s">
        <v>74</v>
      </c>
      <c r="AC99" t="s">
        <v>74</v>
      </c>
      <c r="AD99" t="s">
        <v>74</v>
      </c>
      <c r="AE99" t="s">
        <v>74</v>
      </c>
      <c r="AF99" t="s">
        <v>74</v>
      </c>
      <c r="AG99">
        <v>34</v>
      </c>
      <c r="AH99">
        <v>0</v>
      </c>
      <c r="AI99">
        <v>0</v>
      </c>
      <c r="AJ99">
        <v>0</v>
      </c>
      <c r="AK99">
        <v>0</v>
      </c>
      <c r="AL99" t="s">
        <v>1612</v>
      </c>
      <c r="AM99" t="s">
        <v>1613</v>
      </c>
      <c r="AN99" t="s">
        <v>1614</v>
      </c>
      <c r="AO99" t="s">
        <v>1615</v>
      </c>
      <c r="AP99" t="s">
        <v>74</v>
      </c>
      <c r="AQ99" t="s">
        <v>74</v>
      </c>
      <c r="AR99" t="s">
        <v>1616</v>
      </c>
      <c r="AS99" t="s">
        <v>1617</v>
      </c>
      <c r="AT99" t="s">
        <v>1222</v>
      </c>
      <c r="AU99">
        <v>1998</v>
      </c>
      <c r="AV99">
        <v>33</v>
      </c>
      <c r="AW99">
        <v>1</v>
      </c>
      <c r="AX99" t="s">
        <v>74</v>
      </c>
      <c r="AY99" t="s">
        <v>74</v>
      </c>
      <c r="AZ99" t="s">
        <v>74</v>
      </c>
      <c r="BA99" t="s">
        <v>74</v>
      </c>
      <c r="BB99">
        <v>20</v>
      </c>
      <c r="BC99">
        <v>42</v>
      </c>
      <c r="BD99" t="s">
        <v>74</v>
      </c>
      <c r="BE99" t="s">
        <v>74</v>
      </c>
      <c r="BF99" t="s">
        <v>74</v>
      </c>
      <c r="BG99" t="s">
        <v>74</v>
      </c>
      <c r="BH99" t="s">
        <v>74</v>
      </c>
      <c r="BI99">
        <v>23</v>
      </c>
      <c r="BJ99" t="s">
        <v>1618</v>
      </c>
      <c r="BK99" t="s">
        <v>1619</v>
      </c>
      <c r="BL99" t="s">
        <v>1618</v>
      </c>
      <c r="BM99" t="s">
        <v>1620</v>
      </c>
      <c r="BN99" t="s">
        <v>74</v>
      </c>
      <c r="BO99" t="s">
        <v>74</v>
      </c>
      <c r="BP99" t="s">
        <v>74</v>
      </c>
      <c r="BQ99" t="s">
        <v>74</v>
      </c>
      <c r="BR99" t="s">
        <v>101</v>
      </c>
      <c r="BS99" t="s">
        <v>1621</v>
      </c>
      <c r="BT99" t="str">
        <f>HYPERLINK("https%3A%2F%2Fwww.webofscience.com%2Fwos%2Fwoscc%2Ffull-record%2FWOS:000074846900002","View Full Record in Web of Science")</f>
        <v>View Full Record in Web of Science</v>
      </c>
    </row>
    <row r="100" spans="1:72" x14ac:dyDescent="0.15">
      <c r="A100" t="s">
        <v>72</v>
      </c>
      <c r="B100" t="s">
        <v>1622</v>
      </c>
      <c r="C100" t="s">
        <v>74</v>
      </c>
      <c r="D100" t="s">
        <v>74</v>
      </c>
      <c r="E100" t="s">
        <v>74</v>
      </c>
      <c r="F100" t="s">
        <v>1622</v>
      </c>
      <c r="G100" t="s">
        <v>74</v>
      </c>
      <c r="H100" t="s">
        <v>74</v>
      </c>
      <c r="I100" t="s">
        <v>1623</v>
      </c>
      <c r="J100" t="s">
        <v>1624</v>
      </c>
      <c r="K100" t="s">
        <v>74</v>
      </c>
      <c r="L100" t="s">
        <v>74</v>
      </c>
      <c r="M100" t="s">
        <v>77</v>
      </c>
      <c r="N100" t="s">
        <v>78</v>
      </c>
      <c r="O100" t="s">
        <v>74</v>
      </c>
      <c r="P100" t="s">
        <v>74</v>
      </c>
      <c r="Q100" t="s">
        <v>74</v>
      </c>
      <c r="R100" t="s">
        <v>74</v>
      </c>
      <c r="S100" t="s">
        <v>74</v>
      </c>
      <c r="T100" t="s">
        <v>74</v>
      </c>
      <c r="U100" t="s">
        <v>1625</v>
      </c>
      <c r="V100" t="s">
        <v>1626</v>
      </c>
      <c r="W100" t="s">
        <v>1627</v>
      </c>
      <c r="X100" t="s">
        <v>1628</v>
      </c>
      <c r="Y100" t="s">
        <v>1629</v>
      </c>
      <c r="Z100" t="s">
        <v>74</v>
      </c>
      <c r="AA100" t="s">
        <v>1630</v>
      </c>
      <c r="AB100" t="s">
        <v>1631</v>
      </c>
      <c r="AC100" t="s">
        <v>74</v>
      </c>
      <c r="AD100" t="s">
        <v>74</v>
      </c>
      <c r="AE100" t="s">
        <v>74</v>
      </c>
      <c r="AF100" t="s">
        <v>74</v>
      </c>
      <c r="AG100">
        <v>70</v>
      </c>
      <c r="AH100">
        <v>32</v>
      </c>
      <c r="AI100">
        <v>34</v>
      </c>
      <c r="AJ100">
        <v>1</v>
      </c>
      <c r="AK100">
        <v>18</v>
      </c>
      <c r="AL100" t="s">
        <v>1632</v>
      </c>
      <c r="AM100" t="s">
        <v>1633</v>
      </c>
      <c r="AN100" t="s">
        <v>1634</v>
      </c>
      <c r="AO100" t="s">
        <v>1635</v>
      </c>
      <c r="AP100" t="s">
        <v>74</v>
      </c>
      <c r="AQ100" t="s">
        <v>74</v>
      </c>
      <c r="AR100" t="s">
        <v>1636</v>
      </c>
      <c r="AS100" t="s">
        <v>1637</v>
      </c>
      <c r="AT100" t="s">
        <v>1592</v>
      </c>
      <c r="AU100">
        <v>1998</v>
      </c>
      <c r="AV100">
        <v>108</v>
      </c>
      <c r="AW100">
        <v>5</v>
      </c>
      <c r="AX100" t="s">
        <v>74</v>
      </c>
      <c r="AY100" t="s">
        <v>74</v>
      </c>
      <c r="AZ100" t="s">
        <v>74</v>
      </c>
      <c r="BA100" t="s">
        <v>74</v>
      </c>
      <c r="BB100">
        <v>2197</v>
      </c>
      <c r="BC100">
        <v>2207</v>
      </c>
      <c r="BD100" t="s">
        <v>74</v>
      </c>
      <c r="BE100" t="s">
        <v>1638</v>
      </c>
      <c r="BF100" t="str">
        <f>HYPERLINK("http://dx.doi.org/10.1063/1.475600","http://dx.doi.org/10.1063/1.475600")</f>
        <v>http://dx.doi.org/10.1063/1.475600</v>
      </c>
      <c r="BG100" t="s">
        <v>74</v>
      </c>
      <c r="BH100" t="s">
        <v>74</v>
      </c>
      <c r="BI100">
        <v>11</v>
      </c>
      <c r="BJ100" t="s">
        <v>1052</v>
      </c>
      <c r="BK100" t="s">
        <v>98</v>
      </c>
      <c r="BL100" t="s">
        <v>1053</v>
      </c>
      <c r="BM100" t="s">
        <v>1639</v>
      </c>
      <c r="BN100" t="s">
        <v>74</v>
      </c>
      <c r="BO100" t="s">
        <v>74</v>
      </c>
      <c r="BP100" t="s">
        <v>74</v>
      </c>
      <c r="BQ100" t="s">
        <v>74</v>
      </c>
      <c r="BR100" t="s">
        <v>101</v>
      </c>
      <c r="BS100" t="s">
        <v>1640</v>
      </c>
      <c r="BT100" t="str">
        <f>HYPERLINK("https%3A%2F%2Fwww.webofscience.com%2Fwos%2Fwoscc%2Ffull-record%2FWOS:000071748000053","View Full Record in Web of Science")</f>
        <v>View Full Record in Web of Science</v>
      </c>
    </row>
    <row r="101" spans="1:72" x14ac:dyDescent="0.15">
      <c r="A101" t="s">
        <v>72</v>
      </c>
      <c r="B101" t="s">
        <v>1641</v>
      </c>
      <c r="C101" t="s">
        <v>74</v>
      </c>
      <c r="D101" t="s">
        <v>74</v>
      </c>
      <c r="E101" t="s">
        <v>74</v>
      </c>
      <c r="F101" t="s">
        <v>1641</v>
      </c>
      <c r="G101" t="s">
        <v>74</v>
      </c>
      <c r="H101" t="s">
        <v>74</v>
      </c>
      <c r="I101" t="s">
        <v>1642</v>
      </c>
      <c r="J101" t="s">
        <v>1643</v>
      </c>
      <c r="K101" t="s">
        <v>74</v>
      </c>
      <c r="L101" t="s">
        <v>74</v>
      </c>
      <c r="M101" t="s">
        <v>77</v>
      </c>
      <c r="N101" t="s">
        <v>78</v>
      </c>
      <c r="O101" t="s">
        <v>74</v>
      </c>
      <c r="P101" t="s">
        <v>74</v>
      </c>
      <c r="Q101" t="s">
        <v>74</v>
      </c>
      <c r="R101" t="s">
        <v>74</v>
      </c>
      <c r="S101" t="s">
        <v>74</v>
      </c>
      <c r="T101" t="s">
        <v>1644</v>
      </c>
      <c r="U101" t="s">
        <v>74</v>
      </c>
      <c r="V101" t="s">
        <v>1645</v>
      </c>
      <c r="W101" t="s">
        <v>1646</v>
      </c>
      <c r="X101" t="s">
        <v>1647</v>
      </c>
      <c r="Y101" t="s">
        <v>1648</v>
      </c>
      <c r="Z101" t="s">
        <v>74</v>
      </c>
      <c r="AA101" t="s">
        <v>74</v>
      </c>
      <c r="AB101" t="s">
        <v>74</v>
      </c>
      <c r="AC101" t="s">
        <v>74</v>
      </c>
      <c r="AD101" t="s">
        <v>74</v>
      </c>
      <c r="AE101" t="s">
        <v>74</v>
      </c>
      <c r="AF101" t="s">
        <v>74</v>
      </c>
      <c r="AG101">
        <v>28</v>
      </c>
      <c r="AH101">
        <v>8</v>
      </c>
      <c r="AI101">
        <v>8</v>
      </c>
      <c r="AJ101">
        <v>0</v>
      </c>
      <c r="AK101">
        <v>2</v>
      </c>
      <c r="AL101" t="s">
        <v>897</v>
      </c>
      <c r="AM101" t="s">
        <v>244</v>
      </c>
      <c r="AN101" t="s">
        <v>898</v>
      </c>
      <c r="AO101" t="s">
        <v>1649</v>
      </c>
      <c r="AP101" t="s">
        <v>74</v>
      </c>
      <c r="AQ101" t="s">
        <v>74</v>
      </c>
      <c r="AR101" t="s">
        <v>1650</v>
      </c>
      <c r="AS101" t="s">
        <v>1651</v>
      </c>
      <c r="AT101" t="s">
        <v>1222</v>
      </c>
      <c r="AU101">
        <v>1998</v>
      </c>
      <c r="AV101">
        <v>72</v>
      </c>
      <c r="AW101">
        <v>2</v>
      </c>
      <c r="AX101" t="s">
        <v>74</v>
      </c>
      <c r="AY101" t="s">
        <v>74</v>
      </c>
      <c r="AZ101" t="s">
        <v>74</v>
      </c>
      <c r="BA101" t="s">
        <v>74</v>
      </c>
      <c r="BB101">
        <v>51</v>
      </c>
      <c r="BC101">
        <v>63</v>
      </c>
      <c r="BD101" t="s">
        <v>74</v>
      </c>
      <c r="BE101" t="s">
        <v>1652</v>
      </c>
      <c r="BF101" t="str">
        <f>HYPERLINK("http://dx.doi.org/10.1007/s001900050148","http://dx.doi.org/10.1007/s001900050148")</f>
        <v>http://dx.doi.org/10.1007/s001900050148</v>
      </c>
      <c r="BG101" t="s">
        <v>74</v>
      </c>
      <c r="BH101" t="s">
        <v>74</v>
      </c>
      <c r="BI101">
        <v>13</v>
      </c>
      <c r="BJ101" t="s">
        <v>1653</v>
      </c>
      <c r="BK101" t="s">
        <v>98</v>
      </c>
      <c r="BL101" t="s">
        <v>1653</v>
      </c>
      <c r="BM101" t="s">
        <v>1654</v>
      </c>
      <c r="BN101" t="s">
        <v>74</v>
      </c>
      <c r="BO101" t="s">
        <v>74</v>
      </c>
      <c r="BP101" t="s">
        <v>74</v>
      </c>
      <c r="BQ101" t="s">
        <v>74</v>
      </c>
      <c r="BR101" t="s">
        <v>101</v>
      </c>
      <c r="BS101" t="s">
        <v>1655</v>
      </c>
      <c r="BT101" t="str">
        <f>HYPERLINK("https%3A%2F%2Fwww.webofscience.com%2Fwos%2Fwoscc%2Ffull-record%2FWOS:000072421800001","View Full Record in Web of Science")</f>
        <v>View Full Record in Web of Science</v>
      </c>
    </row>
    <row r="102" spans="1:72" x14ac:dyDescent="0.15">
      <c r="A102" t="s">
        <v>72</v>
      </c>
      <c r="B102" t="s">
        <v>1656</v>
      </c>
      <c r="C102" t="s">
        <v>74</v>
      </c>
      <c r="D102" t="s">
        <v>74</v>
      </c>
      <c r="E102" t="s">
        <v>74</v>
      </c>
      <c r="F102" t="s">
        <v>1656</v>
      </c>
      <c r="G102" t="s">
        <v>74</v>
      </c>
      <c r="H102" t="s">
        <v>74</v>
      </c>
      <c r="I102" t="s">
        <v>1657</v>
      </c>
      <c r="J102" t="s">
        <v>1658</v>
      </c>
      <c r="K102" t="s">
        <v>74</v>
      </c>
      <c r="L102" t="s">
        <v>74</v>
      </c>
      <c r="M102" t="s">
        <v>77</v>
      </c>
      <c r="N102" t="s">
        <v>78</v>
      </c>
      <c r="O102" t="s">
        <v>74</v>
      </c>
      <c r="P102" t="s">
        <v>74</v>
      </c>
      <c r="Q102" t="s">
        <v>74</v>
      </c>
      <c r="R102" t="s">
        <v>74</v>
      </c>
      <c r="S102" t="s">
        <v>74</v>
      </c>
      <c r="T102" t="s">
        <v>74</v>
      </c>
      <c r="U102" t="s">
        <v>1659</v>
      </c>
      <c r="V102" t="s">
        <v>1660</v>
      </c>
      <c r="W102" t="s">
        <v>1584</v>
      </c>
      <c r="X102" t="s">
        <v>1585</v>
      </c>
      <c r="Y102" t="s">
        <v>1586</v>
      </c>
      <c r="Z102" t="s">
        <v>74</v>
      </c>
      <c r="AA102" t="s">
        <v>1587</v>
      </c>
      <c r="AB102" t="s">
        <v>1588</v>
      </c>
      <c r="AC102" t="s">
        <v>74</v>
      </c>
      <c r="AD102" t="s">
        <v>74</v>
      </c>
      <c r="AE102" t="s">
        <v>74</v>
      </c>
      <c r="AF102" t="s">
        <v>74</v>
      </c>
      <c r="AG102">
        <v>26</v>
      </c>
      <c r="AH102">
        <v>15</v>
      </c>
      <c r="AI102">
        <v>16</v>
      </c>
      <c r="AJ102">
        <v>0</v>
      </c>
      <c r="AK102">
        <v>0</v>
      </c>
      <c r="AL102" t="s">
        <v>87</v>
      </c>
      <c r="AM102" t="s">
        <v>88</v>
      </c>
      <c r="AN102" t="s">
        <v>89</v>
      </c>
      <c r="AO102" t="s">
        <v>74</v>
      </c>
      <c r="AP102" t="s">
        <v>74</v>
      </c>
      <c r="AQ102" t="s">
        <v>74</v>
      </c>
      <c r="AR102" t="s">
        <v>1661</v>
      </c>
      <c r="AS102" t="s">
        <v>1662</v>
      </c>
      <c r="AT102" t="s">
        <v>1592</v>
      </c>
      <c r="AU102">
        <v>1998</v>
      </c>
      <c r="AV102">
        <v>103</v>
      </c>
      <c r="AW102" t="s">
        <v>1663</v>
      </c>
      <c r="AX102" t="s">
        <v>74</v>
      </c>
      <c r="AY102" t="s">
        <v>74</v>
      </c>
      <c r="AZ102" t="s">
        <v>74</v>
      </c>
      <c r="BA102" t="s">
        <v>74</v>
      </c>
      <c r="BB102">
        <v>2163</v>
      </c>
      <c r="BC102">
        <v>2169</v>
      </c>
      <c r="BD102" t="s">
        <v>74</v>
      </c>
      <c r="BE102" t="s">
        <v>1664</v>
      </c>
      <c r="BF102" t="str">
        <f>HYPERLINK("http://dx.doi.org/10.1029/97JA02927","http://dx.doi.org/10.1029/97JA02927")</f>
        <v>http://dx.doi.org/10.1029/97JA02927</v>
      </c>
      <c r="BG102" t="s">
        <v>74</v>
      </c>
      <c r="BH102" t="s">
        <v>74</v>
      </c>
      <c r="BI102">
        <v>7</v>
      </c>
      <c r="BJ102" t="s">
        <v>971</v>
      </c>
      <c r="BK102" t="s">
        <v>98</v>
      </c>
      <c r="BL102" t="s">
        <v>971</v>
      </c>
      <c r="BM102" t="s">
        <v>1665</v>
      </c>
      <c r="BN102" t="s">
        <v>74</v>
      </c>
      <c r="BO102" t="s">
        <v>100</v>
      </c>
      <c r="BP102" t="s">
        <v>74</v>
      </c>
      <c r="BQ102" t="s">
        <v>74</v>
      </c>
      <c r="BR102" t="s">
        <v>101</v>
      </c>
      <c r="BS102" t="s">
        <v>1666</v>
      </c>
      <c r="BT102" t="str">
        <f>HYPERLINK("https%3A%2F%2Fwww.webofscience.com%2Fwos%2Fwoscc%2Ffull-record%2FWOS:000071845800026","View Full Record in Web of Science")</f>
        <v>View Full Record in Web of Science</v>
      </c>
    </row>
    <row r="103" spans="1:72" x14ac:dyDescent="0.15">
      <c r="A103" t="s">
        <v>72</v>
      </c>
      <c r="B103" t="s">
        <v>1656</v>
      </c>
      <c r="C103" t="s">
        <v>74</v>
      </c>
      <c r="D103" t="s">
        <v>74</v>
      </c>
      <c r="E103" t="s">
        <v>74</v>
      </c>
      <c r="F103" t="s">
        <v>1656</v>
      </c>
      <c r="G103" t="s">
        <v>74</v>
      </c>
      <c r="H103" t="s">
        <v>74</v>
      </c>
      <c r="I103" t="s">
        <v>1667</v>
      </c>
      <c r="J103" t="s">
        <v>1658</v>
      </c>
      <c r="K103" t="s">
        <v>74</v>
      </c>
      <c r="L103" t="s">
        <v>74</v>
      </c>
      <c r="M103" t="s">
        <v>77</v>
      </c>
      <c r="N103" t="s">
        <v>78</v>
      </c>
      <c r="O103" t="s">
        <v>74</v>
      </c>
      <c r="P103" t="s">
        <v>74</v>
      </c>
      <c r="Q103" t="s">
        <v>74</v>
      </c>
      <c r="R103" t="s">
        <v>74</v>
      </c>
      <c r="S103" t="s">
        <v>74</v>
      </c>
      <c r="T103" t="s">
        <v>74</v>
      </c>
      <c r="U103" t="s">
        <v>1668</v>
      </c>
      <c r="V103" t="s">
        <v>1669</v>
      </c>
      <c r="W103" t="s">
        <v>1584</v>
      </c>
      <c r="X103" t="s">
        <v>1585</v>
      </c>
      <c r="Y103" t="s">
        <v>1586</v>
      </c>
      <c r="Z103" t="s">
        <v>74</v>
      </c>
      <c r="AA103" t="s">
        <v>1587</v>
      </c>
      <c r="AB103" t="s">
        <v>1588</v>
      </c>
      <c r="AC103" t="s">
        <v>74</v>
      </c>
      <c r="AD103" t="s">
        <v>74</v>
      </c>
      <c r="AE103" t="s">
        <v>74</v>
      </c>
      <c r="AF103" t="s">
        <v>74</v>
      </c>
      <c r="AG103">
        <v>26</v>
      </c>
      <c r="AH103">
        <v>9</v>
      </c>
      <c r="AI103">
        <v>10</v>
      </c>
      <c r="AJ103">
        <v>0</v>
      </c>
      <c r="AK103">
        <v>0</v>
      </c>
      <c r="AL103" t="s">
        <v>87</v>
      </c>
      <c r="AM103" t="s">
        <v>88</v>
      </c>
      <c r="AN103" t="s">
        <v>89</v>
      </c>
      <c r="AO103" t="s">
        <v>74</v>
      </c>
      <c r="AP103" t="s">
        <v>74</v>
      </c>
      <c r="AQ103" t="s">
        <v>74</v>
      </c>
      <c r="AR103" t="s">
        <v>1661</v>
      </c>
      <c r="AS103" t="s">
        <v>1662</v>
      </c>
      <c r="AT103" t="s">
        <v>1592</v>
      </c>
      <c r="AU103">
        <v>1998</v>
      </c>
      <c r="AV103">
        <v>103</v>
      </c>
      <c r="AW103" t="s">
        <v>1663</v>
      </c>
      <c r="AX103" t="s">
        <v>74</v>
      </c>
      <c r="AY103" t="s">
        <v>74</v>
      </c>
      <c r="AZ103" t="s">
        <v>74</v>
      </c>
      <c r="BA103" t="s">
        <v>74</v>
      </c>
      <c r="BB103">
        <v>2171</v>
      </c>
      <c r="BC103">
        <v>2178</v>
      </c>
      <c r="BD103" t="s">
        <v>74</v>
      </c>
      <c r="BE103" t="s">
        <v>1670</v>
      </c>
      <c r="BF103" t="str">
        <f>HYPERLINK("http://dx.doi.org/10.1029/97JA02769","http://dx.doi.org/10.1029/97JA02769")</f>
        <v>http://dx.doi.org/10.1029/97JA02769</v>
      </c>
      <c r="BG103" t="s">
        <v>74</v>
      </c>
      <c r="BH103" t="s">
        <v>74</v>
      </c>
      <c r="BI103">
        <v>8</v>
      </c>
      <c r="BJ103" t="s">
        <v>971</v>
      </c>
      <c r="BK103" t="s">
        <v>98</v>
      </c>
      <c r="BL103" t="s">
        <v>971</v>
      </c>
      <c r="BM103" t="s">
        <v>1665</v>
      </c>
      <c r="BN103" t="s">
        <v>74</v>
      </c>
      <c r="BO103" t="s">
        <v>74</v>
      </c>
      <c r="BP103" t="s">
        <v>74</v>
      </c>
      <c r="BQ103" t="s">
        <v>74</v>
      </c>
      <c r="BR103" t="s">
        <v>101</v>
      </c>
      <c r="BS103" t="s">
        <v>1671</v>
      </c>
      <c r="BT103" t="str">
        <f>HYPERLINK("https%3A%2F%2Fwww.webofscience.com%2Fwos%2Fwoscc%2Ffull-record%2FWOS:000071845800027","View Full Record in Web of Science")</f>
        <v>View Full Record in Web of Science</v>
      </c>
    </row>
    <row r="104" spans="1:72" x14ac:dyDescent="0.15">
      <c r="A104" t="s">
        <v>72</v>
      </c>
      <c r="B104" t="s">
        <v>1672</v>
      </c>
      <c r="C104" t="s">
        <v>74</v>
      </c>
      <c r="D104" t="s">
        <v>74</v>
      </c>
      <c r="E104" t="s">
        <v>74</v>
      </c>
      <c r="F104" t="s">
        <v>1672</v>
      </c>
      <c r="G104" t="s">
        <v>74</v>
      </c>
      <c r="H104" t="s">
        <v>74</v>
      </c>
      <c r="I104" t="s">
        <v>1673</v>
      </c>
      <c r="J104" t="s">
        <v>1658</v>
      </c>
      <c r="K104" t="s">
        <v>74</v>
      </c>
      <c r="L104" t="s">
        <v>74</v>
      </c>
      <c r="M104" t="s">
        <v>77</v>
      </c>
      <c r="N104" t="s">
        <v>78</v>
      </c>
      <c r="O104" t="s">
        <v>74</v>
      </c>
      <c r="P104" t="s">
        <v>74</v>
      </c>
      <c r="Q104" t="s">
        <v>74</v>
      </c>
      <c r="R104" t="s">
        <v>74</v>
      </c>
      <c r="S104" t="s">
        <v>74</v>
      </c>
      <c r="T104" t="s">
        <v>74</v>
      </c>
      <c r="U104" t="s">
        <v>1674</v>
      </c>
      <c r="V104" t="s">
        <v>1675</v>
      </c>
      <c r="W104" t="s">
        <v>1676</v>
      </c>
      <c r="X104" t="s">
        <v>1677</v>
      </c>
      <c r="Y104" t="s">
        <v>1678</v>
      </c>
      <c r="Z104" t="s">
        <v>1679</v>
      </c>
      <c r="AA104" t="s">
        <v>608</v>
      </c>
      <c r="AB104" t="s">
        <v>609</v>
      </c>
      <c r="AC104" t="s">
        <v>74</v>
      </c>
      <c r="AD104" t="s">
        <v>74</v>
      </c>
      <c r="AE104" t="s">
        <v>74</v>
      </c>
      <c r="AF104" t="s">
        <v>74</v>
      </c>
      <c r="AG104">
        <v>31</v>
      </c>
      <c r="AH104">
        <v>20</v>
      </c>
      <c r="AI104">
        <v>20</v>
      </c>
      <c r="AJ104">
        <v>0</v>
      </c>
      <c r="AK104">
        <v>2</v>
      </c>
      <c r="AL104" t="s">
        <v>87</v>
      </c>
      <c r="AM104" t="s">
        <v>88</v>
      </c>
      <c r="AN104" t="s">
        <v>89</v>
      </c>
      <c r="AO104" t="s">
        <v>1680</v>
      </c>
      <c r="AP104" t="s">
        <v>1681</v>
      </c>
      <c r="AQ104" t="s">
        <v>74</v>
      </c>
      <c r="AR104" t="s">
        <v>1661</v>
      </c>
      <c r="AS104" t="s">
        <v>1662</v>
      </c>
      <c r="AT104" t="s">
        <v>1592</v>
      </c>
      <c r="AU104">
        <v>1998</v>
      </c>
      <c r="AV104">
        <v>103</v>
      </c>
      <c r="AW104" t="s">
        <v>1663</v>
      </c>
      <c r="AX104" t="s">
        <v>74</v>
      </c>
      <c r="AY104" t="s">
        <v>74</v>
      </c>
      <c r="AZ104" t="s">
        <v>74</v>
      </c>
      <c r="BA104" t="s">
        <v>74</v>
      </c>
      <c r="BB104">
        <v>2209</v>
      </c>
      <c r="BC104">
        <v>2218</v>
      </c>
      <c r="BD104" t="s">
        <v>74</v>
      </c>
      <c r="BE104" t="s">
        <v>1682</v>
      </c>
      <c r="BF104" t="str">
        <f>HYPERLINK("http://dx.doi.org/10.1029/97JA02819","http://dx.doi.org/10.1029/97JA02819")</f>
        <v>http://dx.doi.org/10.1029/97JA02819</v>
      </c>
      <c r="BG104" t="s">
        <v>74</v>
      </c>
      <c r="BH104" t="s">
        <v>74</v>
      </c>
      <c r="BI104">
        <v>10</v>
      </c>
      <c r="BJ104" t="s">
        <v>971</v>
      </c>
      <c r="BK104" t="s">
        <v>98</v>
      </c>
      <c r="BL104" t="s">
        <v>971</v>
      </c>
      <c r="BM104" t="s">
        <v>1665</v>
      </c>
      <c r="BN104" t="s">
        <v>74</v>
      </c>
      <c r="BO104" t="s">
        <v>100</v>
      </c>
      <c r="BP104" t="s">
        <v>74</v>
      </c>
      <c r="BQ104" t="s">
        <v>74</v>
      </c>
      <c r="BR104" t="s">
        <v>101</v>
      </c>
      <c r="BS104" t="s">
        <v>1683</v>
      </c>
      <c r="BT104" t="str">
        <f>HYPERLINK("https%3A%2F%2Fwww.webofscience.com%2Fwos%2Fwoscc%2Ffull-record%2FWOS:000071845800031","View Full Record in Web of Science")</f>
        <v>View Full Record in Web of Science</v>
      </c>
    </row>
    <row r="105" spans="1:72" x14ac:dyDescent="0.15">
      <c r="A105" t="s">
        <v>72</v>
      </c>
      <c r="B105" t="s">
        <v>1684</v>
      </c>
      <c r="C105" t="s">
        <v>74</v>
      </c>
      <c r="D105" t="s">
        <v>74</v>
      </c>
      <c r="E105" t="s">
        <v>74</v>
      </c>
      <c r="F105" t="s">
        <v>1684</v>
      </c>
      <c r="G105" t="s">
        <v>74</v>
      </c>
      <c r="H105" t="s">
        <v>74</v>
      </c>
      <c r="I105" t="s">
        <v>1685</v>
      </c>
      <c r="J105" t="s">
        <v>1686</v>
      </c>
      <c r="K105" t="s">
        <v>74</v>
      </c>
      <c r="L105" t="s">
        <v>74</v>
      </c>
      <c r="M105" t="s">
        <v>77</v>
      </c>
      <c r="N105" t="s">
        <v>78</v>
      </c>
      <c r="O105" t="s">
        <v>74</v>
      </c>
      <c r="P105" t="s">
        <v>74</v>
      </c>
      <c r="Q105" t="s">
        <v>74</v>
      </c>
      <c r="R105" t="s">
        <v>74</v>
      </c>
      <c r="S105" t="s">
        <v>74</v>
      </c>
      <c r="T105" t="s">
        <v>74</v>
      </c>
      <c r="U105" t="s">
        <v>1687</v>
      </c>
      <c r="V105" t="s">
        <v>1688</v>
      </c>
      <c r="W105" t="s">
        <v>1689</v>
      </c>
      <c r="X105" t="s">
        <v>1690</v>
      </c>
      <c r="Y105" t="s">
        <v>1691</v>
      </c>
      <c r="Z105" t="s">
        <v>74</v>
      </c>
      <c r="AA105" t="s">
        <v>74</v>
      </c>
      <c r="AB105" t="s">
        <v>74</v>
      </c>
      <c r="AC105" t="s">
        <v>74</v>
      </c>
      <c r="AD105" t="s">
        <v>74</v>
      </c>
      <c r="AE105" t="s">
        <v>74</v>
      </c>
      <c r="AF105" t="s">
        <v>74</v>
      </c>
      <c r="AG105">
        <v>21</v>
      </c>
      <c r="AH105">
        <v>30</v>
      </c>
      <c r="AI105">
        <v>43</v>
      </c>
      <c r="AJ105">
        <v>0</v>
      </c>
      <c r="AK105">
        <v>9</v>
      </c>
      <c r="AL105" t="s">
        <v>1692</v>
      </c>
      <c r="AM105" t="s">
        <v>214</v>
      </c>
      <c r="AN105" t="s">
        <v>1693</v>
      </c>
      <c r="AO105" t="s">
        <v>1694</v>
      </c>
      <c r="AP105" t="s">
        <v>74</v>
      </c>
      <c r="AQ105" t="s">
        <v>74</v>
      </c>
      <c r="AR105" t="s">
        <v>1695</v>
      </c>
      <c r="AS105" t="s">
        <v>1696</v>
      </c>
      <c r="AT105" t="s">
        <v>1222</v>
      </c>
      <c r="AU105">
        <v>1998</v>
      </c>
      <c r="AV105">
        <v>64</v>
      </c>
      <c r="AW105" t="s">
        <v>74</v>
      </c>
      <c r="AX105">
        <v>1</v>
      </c>
      <c r="AY105" t="s">
        <v>74</v>
      </c>
      <c r="AZ105" t="s">
        <v>74</v>
      </c>
      <c r="BA105" t="s">
        <v>74</v>
      </c>
      <c r="BB105">
        <v>21</v>
      </c>
      <c r="BC105">
        <v>34</v>
      </c>
      <c r="BD105" t="s">
        <v>74</v>
      </c>
      <c r="BE105" t="s">
        <v>1697</v>
      </c>
      <c r="BF105" t="str">
        <f>HYPERLINK("http://dx.doi.org/10.1093/mollus/64.1.21","http://dx.doi.org/10.1093/mollus/64.1.21")</f>
        <v>http://dx.doi.org/10.1093/mollus/64.1.21</v>
      </c>
      <c r="BG105" t="s">
        <v>74</v>
      </c>
      <c r="BH105" t="s">
        <v>74</v>
      </c>
      <c r="BI105">
        <v>14</v>
      </c>
      <c r="BJ105" t="s">
        <v>1087</v>
      </c>
      <c r="BK105" t="s">
        <v>98</v>
      </c>
      <c r="BL105" t="s">
        <v>1087</v>
      </c>
      <c r="BM105" t="s">
        <v>1698</v>
      </c>
      <c r="BN105" t="s">
        <v>74</v>
      </c>
      <c r="BO105" t="s">
        <v>1699</v>
      </c>
      <c r="BP105" t="s">
        <v>74</v>
      </c>
      <c r="BQ105" t="s">
        <v>74</v>
      </c>
      <c r="BR105" t="s">
        <v>101</v>
      </c>
      <c r="BS105" t="s">
        <v>1700</v>
      </c>
      <c r="BT105" t="str">
        <f>HYPERLINK("https%3A%2F%2Fwww.webofscience.com%2Fwos%2Fwoscc%2Ffull-record%2FWOS:000072832100003","View Full Record in Web of Science")</f>
        <v>View Full Record in Web of Science</v>
      </c>
    </row>
    <row r="106" spans="1:72" x14ac:dyDescent="0.15">
      <c r="A106" t="s">
        <v>72</v>
      </c>
      <c r="B106" t="s">
        <v>1701</v>
      </c>
      <c r="C106" t="s">
        <v>74</v>
      </c>
      <c r="D106" t="s">
        <v>74</v>
      </c>
      <c r="E106" t="s">
        <v>74</v>
      </c>
      <c r="F106" t="s">
        <v>1701</v>
      </c>
      <c r="G106" t="s">
        <v>74</v>
      </c>
      <c r="H106" t="s">
        <v>74</v>
      </c>
      <c r="I106" t="s">
        <v>1702</v>
      </c>
      <c r="J106" t="s">
        <v>1686</v>
      </c>
      <c r="K106" t="s">
        <v>74</v>
      </c>
      <c r="L106" t="s">
        <v>74</v>
      </c>
      <c r="M106" t="s">
        <v>77</v>
      </c>
      <c r="N106" t="s">
        <v>78</v>
      </c>
      <c r="O106" t="s">
        <v>74</v>
      </c>
      <c r="P106" t="s">
        <v>74</v>
      </c>
      <c r="Q106" t="s">
        <v>74</v>
      </c>
      <c r="R106" t="s">
        <v>74</v>
      </c>
      <c r="S106" t="s">
        <v>74</v>
      </c>
      <c r="T106" t="s">
        <v>74</v>
      </c>
      <c r="U106" t="s">
        <v>1703</v>
      </c>
      <c r="V106" t="s">
        <v>74</v>
      </c>
      <c r="W106" t="s">
        <v>758</v>
      </c>
      <c r="X106" t="s">
        <v>322</v>
      </c>
      <c r="Y106" t="s">
        <v>1704</v>
      </c>
      <c r="Z106" t="s">
        <v>74</v>
      </c>
      <c r="AA106" t="s">
        <v>74</v>
      </c>
      <c r="AB106" t="s">
        <v>74</v>
      </c>
      <c r="AC106" t="s">
        <v>74</v>
      </c>
      <c r="AD106" t="s">
        <v>74</v>
      </c>
      <c r="AE106" t="s">
        <v>74</v>
      </c>
      <c r="AF106" t="s">
        <v>74</v>
      </c>
      <c r="AG106">
        <v>21</v>
      </c>
      <c r="AH106">
        <v>22</v>
      </c>
      <c r="AI106">
        <v>22</v>
      </c>
      <c r="AJ106">
        <v>0</v>
      </c>
      <c r="AK106">
        <v>3</v>
      </c>
      <c r="AL106" t="s">
        <v>1692</v>
      </c>
      <c r="AM106" t="s">
        <v>214</v>
      </c>
      <c r="AN106" t="s">
        <v>1693</v>
      </c>
      <c r="AO106" t="s">
        <v>1694</v>
      </c>
      <c r="AP106" t="s">
        <v>74</v>
      </c>
      <c r="AQ106" t="s">
        <v>74</v>
      </c>
      <c r="AR106" t="s">
        <v>1695</v>
      </c>
      <c r="AS106" t="s">
        <v>1696</v>
      </c>
      <c r="AT106" t="s">
        <v>1222</v>
      </c>
      <c r="AU106">
        <v>1998</v>
      </c>
      <c r="AV106">
        <v>64</v>
      </c>
      <c r="AW106" t="s">
        <v>74</v>
      </c>
      <c r="AX106">
        <v>1</v>
      </c>
      <c r="AY106" t="s">
        <v>74</v>
      </c>
      <c r="AZ106" t="s">
        <v>74</v>
      </c>
      <c r="BA106" t="s">
        <v>74</v>
      </c>
      <c r="BB106">
        <v>123</v>
      </c>
      <c r="BC106">
        <v>127</v>
      </c>
      <c r="BD106" t="s">
        <v>74</v>
      </c>
      <c r="BE106" t="s">
        <v>1705</v>
      </c>
      <c r="BF106" t="str">
        <f>HYPERLINK("http://dx.doi.org/10.1093/mollus/64.1.123","http://dx.doi.org/10.1093/mollus/64.1.123")</f>
        <v>http://dx.doi.org/10.1093/mollus/64.1.123</v>
      </c>
      <c r="BG106" t="s">
        <v>74</v>
      </c>
      <c r="BH106" t="s">
        <v>74</v>
      </c>
      <c r="BI106">
        <v>5</v>
      </c>
      <c r="BJ106" t="s">
        <v>1087</v>
      </c>
      <c r="BK106" t="s">
        <v>98</v>
      </c>
      <c r="BL106" t="s">
        <v>1087</v>
      </c>
      <c r="BM106" t="s">
        <v>1698</v>
      </c>
      <c r="BN106" t="s">
        <v>74</v>
      </c>
      <c r="BO106" t="s">
        <v>100</v>
      </c>
      <c r="BP106" t="s">
        <v>74</v>
      </c>
      <c r="BQ106" t="s">
        <v>74</v>
      </c>
      <c r="BR106" t="s">
        <v>101</v>
      </c>
      <c r="BS106" t="s">
        <v>1706</v>
      </c>
      <c r="BT106" t="str">
        <f>HYPERLINK("https%3A%2F%2Fwww.webofscience.com%2Fwos%2Fwoscc%2Ffull-record%2FWOS:000072832100011","View Full Record in Web of Science")</f>
        <v>View Full Record in Web of Science</v>
      </c>
    </row>
    <row r="107" spans="1:72" x14ac:dyDescent="0.15">
      <c r="A107" t="s">
        <v>72</v>
      </c>
      <c r="B107" t="s">
        <v>1707</v>
      </c>
      <c r="C107" t="s">
        <v>74</v>
      </c>
      <c r="D107" t="s">
        <v>74</v>
      </c>
      <c r="E107" t="s">
        <v>74</v>
      </c>
      <c r="F107" t="s">
        <v>1707</v>
      </c>
      <c r="G107" t="s">
        <v>74</v>
      </c>
      <c r="H107" t="s">
        <v>74</v>
      </c>
      <c r="I107" t="s">
        <v>1708</v>
      </c>
      <c r="J107" t="s">
        <v>1709</v>
      </c>
      <c r="K107" t="s">
        <v>74</v>
      </c>
      <c r="L107" t="s">
        <v>74</v>
      </c>
      <c r="M107" t="s">
        <v>77</v>
      </c>
      <c r="N107" t="s">
        <v>78</v>
      </c>
      <c r="O107" t="s">
        <v>74</v>
      </c>
      <c r="P107" t="s">
        <v>74</v>
      </c>
      <c r="Q107" t="s">
        <v>74</v>
      </c>
      <c r="R107" t="s">
        <v>74</v>
      </c>
      <c r="S107" t="s">
        <v>74</v>
      </c>
      <c r="T107" t="s">
        <v>1710</v>
      </c>
      <c r="U107" t="s">
        <v>1711</v>
      </c>
      <c r="V107" t="s">
        <v>1712</v>
      </c>
      <c r="W107" t="s">
        <v>1713</v>
      </c>
      <c r="X107" t="s">
        <v>1714</v>
      </c>
      <c r="Y107" t="s">
        <v>1715</v>
      </c>
      <c r="Z107" t="s">
        <v>1716</v>
      </c>
      <c r="AA107" t="s">
        <v>280</v>
      </c>
      <c r="AB107" t="s">
        <v>1717</v>
      </c>
      <c r="AC107" t="s">
        <v>74</v>
      </c>
      <c r="AD107" t="s">
        <v>74</v>
      </c>
      <c r="AE107" t="s">
        <v>74</v>
      </c>
      <c r="AF107" t="s">
        <v>74</v>
      </c>
      <c r="AG107">
        <v>55</v>
      </c>
      <c r="AH107">
        <v>63</v>
      </c>
      <c r="AI107">
        <v>69</v>
      </c>
      <c r="AJ107">
        <v>0</v>
      </c>
      <c r="AK107">
        <v>10</v>
      </c>
      <c r="AL107" t="s">
        <v>914</v>
      </c>
      <c r="AM107" t="s">
        <v>855</v>
      </c>
      <c r="AN107" t="s">
        <v>1718</v>
      </c>
      <c r="AO107" t="s">
        <v>1719</v>
      </c>
      <c r="AP107" t="s">
        <v>1720</v>
      </c>
      <c r="AQ107" t="s">
        <v>74</v>
      </c>
      <c r="AR107" t="s">
        <v>1721</v>
      </c>
      <c r="AS107" t="s">
        <v>1722</v>
      </c>
      <c r="AT107" t="s">
        <v>1222</v>
      </c>
      <c r="AU107">
        <v>1998</v>
      </c>
      <c r="AV107">
        <v>19</v>
      </c>
      <c r="AW107">
        <v>2</v>
      </c>
      <c r="AX107" t="s">
        <v>74</v>
      </c>
      <c r="AY107" t="s">
        <v>74</v>
      </c>
      <c r="AZ107" t="s">
        <v>74</v>
      </c>
      <c r="BA107" t="s">
        <v>74</v>
      </c>
      <c r="BB107">
        <v>99</v>
      </c>
      <c r="BC107">
        <v>113</v>
      </c>
      <c r="BD107" t="s">
        <v>74</v>
      </c>
      <c r="BE107" t="s">
        <v>1723</v>
      </c>
      <c r="BF107" t="str">
        <f>HYPERLINK("http://dx.doi.org/10.1023/A:1007947402927","http://dx.doi.org/10.1023/A:1007947402927")</f>
        <v>http://dx.doi.org/10.1023/A:1007947402927</v>
      </c>
      <c r="BG107" t="s">
        <v>74</v>
      </c>
      <c r="BH107" t="s">
        <v>74</v>
      </c>
      <c r="BI107">
        <v>15</v>
      </c>
      <c r="BJ107" t="s">
        <v>1724</v>
      </c>
      <c r="BK107" t="s">
        <v>98</v>
      </c>
      <c r="BL107" t="s">
        <v>1725</v>
      </c>
      <c r="BM107" t="s">
        <v>1726</v>
      </c>
      <c r="BN107" t="s">
        <v>74</v>
      </c>
      <c r="BO107" t="s">
        <v>74</v>
      </c>
      <c r="BP107" t="s">
        <v>74</v>
      </c>
      <c r="BQ107" t="s">
        <v>74</v>
      </c>
      <c r="BR107" t="s">
        <v>101</v>
      </c>
      <c r="BS107" t="s">
        <v>1727</v>
      </c>
      <c r="BT107" t="str">
        <f>HYPERLINK("https%3A%2F%2Fwww.webofscience.com%2Fwos%2Fwoscc%2Ffull-record%2FWOS:000073260600001","View Full Record in Web of Science")</f>
        <v>View Full Record in Web of Science</v>
      </c>
    </row>
    <row r="108" spans="1:72" x14ac:dyDescent="0.15">
      <c r="A108" t="s">
        <v>72</v>
      </c>
      <c r="B108" t="s">
        <v>1728</v>
      </c>
      <c r="C108" t="s">
        <v>74</v>
      </c>
      <c r="D108" t="s">
        <v>74</v>
      </c>
      <c r="E108" t="s">
        <v>74</v>
      </c>
      <c r="F108" t="s">
        <v>1728</v>
      </c>
      <c r="G108" t="s">
        <v>74</v>
      </c>
      <c r="H108" t="s">
        <v>74</v>
      </c>
      <c r="I108" t="s">
        <v>1729</v>
      </c>
      <c r="J108" t="s">
        <v>1730</v>
      </c>
      <c r="K108" t="s">
        <v>74</v>
      </c>
      <c r="L108" t="s">
        <v>74</v>
      </c>
      <c r="M108" t="s">
        <v>77</v>
      </c>
      <c r="N108" t="s">
        <v>78</v>
      </c>
      <c r="O108" t="s">
        <v>74</v>
      </c>
      <c r="P108" t="s">
        <v>74</v>
      </c>
      <c r="Q108" t="s">
        <v>74</v>
      </c>
      <c r="R108" t="s">
        <v>74</v>
      </c>
      <c r="S108" t="s">
        <v>74</v>
      </c>
      <c r="T108" t="s">
        <v>1731</v>
      </c>
      <c r="U108" t="s">
        <v>1732</v>
      </c>
      <c r="V108" t="s">
        <v>1733</v>
      </c>
      <c r="W108" t="s">
        <v>1734</v>
      </c>
      <c r="X108" t="s">
        <v>1735</v>
      </c>
      <c r="Y108" t="s">
        <v>1736</v>
      </c>
      <c r="Z108" t="s">
        <v>1737</v>
      </c>
      <c r="AA108" t="s">
        <v>1738</v>
      </c>
      <c r="AB108" t="s">
        <v>1739</v>
      </c>
      <c r="AC108" t="s">
        <v>74</v>
      </c>
      <c r="AD108" t="s">
        <v>74</v>
      </c>
      <c r="AE108" t="s">
        <v>74</v>
      </c>
      <c r="AF108" t="s">
        <v>74</v>
      </c>
      <c r="AG108">
        <v>47</v>
      </c>
      <c r="AH108">
        <v>27</v>
      </c>
      <c r="AI108">
        <v>30</v>
      </c>
      <c r="AJ108">
        <v>1</v>
      </c>
      <c r="AK108">
        <v>5</v>
      </c>
      <c r="AL108" t="s">
        <v>812</v>
      </c>
      <c r="AM108" t="s">
        <v>826</v>
      </c>
      <c r="AN108" t="s">
        <v>827</v>
      </c>
      <c r="AO108" t="s">
        <v>1740</v>
      </c>
      <c r="AP108" t="s">
        <v>1741</v>
      </c>
      <c r="AQ108" t="s">
        <v>74</v>
      </c>
      <c r="AR108" t="s">
        <v>1742</v>
      </c>
      <c r="AS108" t="s">
        <v>1743</v>
      </c>
      <c r="AT108" t="s">
        <v>1222</v>
      </c>
      <c r="AU108">
        <v>1998</v>
      </c>
      <c r="AV108">
        <v>34</v>
      </c>
      <c r="AW108">
        <v>1</v>
      </c>
      <c r="AX108" t="s">
        <v>74</v>
      </c>
      <c r="AY108" t="s">
        <v>74</v>
      </c>
      <c r="AZ108" t="s">
        <v>74</v>
      </c>
      <c r="BA108" t="s">
        <v>74</v>
      </c>
      <c r="BB108">
        <v>53</v>
      </c>
      <c r="BC108">
        <v>59</v>
      </c>
      <c r="BD108" t="s">
        <v>74</v>
      </c>
      <c r="BE108" t="s">
        <v>1744</v>
      </c>
      <c r="BF108" t="str">
        <f>HYPERLINK("http://dx.doi.org/10.1046/j.1529-8817.1998.340053.x","http://dx.doi.org/10.1046/j.1529-8817.1998.340053.x")</f>
        <v>http://dx.doi.org/10.1046/j.1529-8817.1998.340053.x</v>
      </c>
      <c r="BG108" t="s">
        <v>74</v>
      </c>
      <c r="BH108" t="s">
        <v>74</v>
      </c>
      <c r="BI108">
        <v>7</v>
      </c>
      <c r="BJ108" t="s">
        <v>1299</v>
      </c>
      <c r="BK108" t="s">
        <v>98</v>
      </c>
      <c r="BL108" t="s">
        <v>1299</v>
      </c>
      <c r="BM108" t="s">
        <v>1745</v>
      </c>
      <c r="BN108" t="s">
        <v>74</v>
      </c>
      <c r="BO108" t="s">
        <v>74</v>
      </c>
      <c r="BP108" t="s">
        <v>74</v>
      </c>
      <c r="BQ108" t="s">
        <v>74</v>
      </c>
      <c r="BR108" t="s">
        <v>101</v>
      </c>
      <c r="BS108" t="s">
        <v>1746</v>
      </c>
      <c r="BT108" t="str">
        <f>HYPERLINK("https%3A%2F%2Fwww.webofscience.com%2Fwos%2Fwoscc%2Ffull-record%2FWOS:000072527700006","View Full Record in Web of Science")</f>
        <v>View Full Record in Web of Science</v>
      </c>
    </row>
    <row r="109" spans="1:72" x14ac:dyDescent="0.15">
      <c r="A109" t="s">
        <v>72</v>
      </c>
      <c r="B109" t="s">
        <v>1747</v>
      </c>
      <c r="C109" t="s">
        <v>74</v>
      </c>
      <c r="D109" t="s">
        <v>74</v>
      </c>
      <c r="E109" t="s">
        <v>74</v>
      </c>
      <c r="F109" t="s">
        <v>1747</v>
      </c>
      <c r="G109" t="s">
        <v>74</v>
      </c>
      <c r="H109" t="s">
        <v>74</v>
      </c>
      <c r="I109" t="s">
        <v>1748</v>
      </c>
      <c r="J109" t="s">
        <v>1730</v>
      </c>
      <c r="K109" t="s">
        <v>74</v>
      </c>
      <c r="L109" t="s">
        <v>74</v>
      </c>
      <c r="M109" t="s">
        <v>77</v>
      </c>
      <c r="N109" t="s">
        <v>78</v>
      </c>
      <c r="O109" t="s">
        <v>74</v>
      </c>
      <c r="P109" t="s">
        <v>74</v>
      </c>
      <c r="Q109" t="s">
        <v>74</v>
      </c>
      <c r="R109" t="s">
        <v>74</v>
      </c>
      <c r="S109" t="s">
        <v>74</v>
      </c>
      <c r="T109" t="s">
        <v>1749</v>
      </c>
      <c r="U109" t="s">
        <v>1750</v>
      </c>
      <c r="V109" t="s">
        <v>1751</v>
      </c>
      <c r="W109" t="s">
        <v>1752</v>
      </c>
      <c r="X109" t="s">
        <v>1753</v>
      </c>
      <c r="Y109" t="s">
        <v>1754</v>
      </c>
      <c r="Z109" t="s">
        <v>1755</v>
      </c>
      <c r="AA109" t="s">
        <v>1756</v>
      </c>
      <c r="AB109" t="s">
        <v>1757</v>
      </c>
      <c r="AC109" t="s">
        <v>74</v>
      </c>
      <c r="AD109" t="s">
        <v>74</v>
      </c>
      <c r="AE109" t="s">
        <v>74</v>
      </c>
      <c r="AF109" t="s">
        <v>74</v>
      </c>
      <c r="AG109">
        <v>42</v>
      </c>
      <c r="AH109">
        <v>49</v>
      </c>
      <c r="AI109">
        <v>51</v>
      </c>
      <c r="AJ109">
        <v>0</v>
      </c>
      <c r="AK109">
        <v>25</v>
      </c>
      <c r="AL109" t="s">
        <v>1758</v>
      </c>
      <c r="AM109" t="s">
        <v>590</v>
      </c>
      <c r="AN109" t="s">
        <v>729</v>
      </c>
      <c r="AO109" t="s">
        <v>1740</v>
      </c>
      <c r="AP109" t="s">
        <v>74</v>
      </c>
      <c r="AQ109" t="s">
        <v>74</v>
      </c>
      <c r="AR109" t="s">
        <v>1742</v>
      </c>
      <c r="AS109" t="s">
        <v>1743</v>
      </c>
      <c r="AT109" t="s">
        <v>1222</v>
      </c>
      <c r="AU109">
        <v>1998</v>
      </c>
      <c r="AV109">
        <v>34</v>
      </c>
      <c r="AW109">
        <v>1</v>
      </c>
      <c r="AX109" t="s">
        <v>74</v>
      </c>
      <c r="AY109" t="s">
        <v>74</v>
      </c>
      <c r="AZ109" t="s">
        <v>74</v>
      </c>
      <c r="BA109" t="s">
        <v>74</v>
      </c>
      <c r="BB109">
        <v>60</v>
      </c>
      <c r="BC109">
        <v>69</v>
      </c>
      <c r="BD109" t="s">
        <v>74</v>
      </c>
      <c r="BE109" t="s">
        <v>1759</v>
      </c>
      <c r="BF109" t="str">
        <f>HYPERLINK("http://dx.doi.org/10.1046/j.1529-8817.1998.340060.x","http://dx.doi.org/10.1046/j.1529-8817.1998.340060.x")</f>
        <v>http://dx.doi.org/10.1046/j.1529-8817.1998.340060.x</v>
      </c>
      <c r="BG109" t="s">
        <v>74</v>
      </c>
      <c r="BH109" t="s">
        <v>74</v>
      </c>
      <c r="BI109">
        <v>10</v>
      </c>
      <c r="BJ109" t="s">
        <v>1299</v>
      </c>
      <c r="BK109" t="s">
        <v>98</v>
      </c>
      <c r="BL109" t="s">
        <v>1299</v>
      </c>
      <c r="BM109" t="s">
        <v>1745</v>
      </c>
      <c r="BN109" t="s">
        <v>74</v>
      </c>
      <c r="BO109" t="s">
        <v>74</v>
      </c>
      <c r="BP109" t="s">
        <v>74</v>
      </c>
      <c r="BQ109" t="s">
        <v>74</v>
      </c>
      <c r="BR109" t="s">
        <v>101</v>
      </c>
      <c r="BS109" t="s">
        <v>1760</v>
      </c>
      <c r="BT109" t="str">
        <f>HYPERLINK("https%3A%2F%2Fwww.webofscience.com%2Fwos%2Fwoscc%2Ffull-record%2FWOS:000072527700007","View Full Record in Web of Science")</f>
        <v>View Full Record in Web of Science</v>
      </c>
    </row>
    <row r="110" spans="1:72" x14ac:dyDescent="0.15">
      <c r="A110" t="s">
        <v>72</v>
      </c>
      <c r="B110" t="s">
        <v>1761</v>
      </c>
      <c r="C110" t="s">
        <v>74</v>
      </c>
      <c r="D110" t="s">
        <v>74</v>
      </c>
      <c r="E110" t="s">
        <v>74</v>
      </c>
      <c r="F110" t="s">
        <v>1761</v>
      </c>
      <c r="G110" t="s">
        <v>74</v>
      </c>
      <c r="H110" t="s">
        <v>74</v>
      </c>
      <c r="I110" t="s">
        <v>1762</v>
      </c>
      <c r="J110" t="s">
        <v>1730</v>
      </c>
      <c r="K110" t="s">
        <v>74</v>
      </c>
      <c r="L110" t="s">
        <v>74</v>
      </c>
      <c r="M110" t="s">
        <v>77</v>
      </c>
      <c r="N110" t="s">
        <v>78</v>
      </c>
      <c r="O110" t="s">
        <v>74</v>
      </c>
      <c r="P110" t="s">
        <v>74</v>
      </c>
      <c r="Q110" t="s">
        <v>74</v>
      </c>
      <c r="R110" t="s">
        <v>74</v>
      </c>
      <c r="S110" t="s">
        <v>74</v>
      </c>
      <c r="T110" t="s">
        <v>1763</v>
      </c>
      <c r="U110" t="s">
        <v>1764</v>
      </c>
      <c r="V110" t="s">
        <v>1765</v>
      </c>
      <c r="W110" t="s">
        <v>1766</v>
      </c>
      <c r="X110" t="s">
        <v>1767</v>
      </c>
      <c r="Y110" t="s">
        <v>1768</v>
      </c>
      <c r="Z110" t="s">
        <v>1769</v>
      </c>
      <c r="AA110" t="s">
        <v>1770</v>
      </c>
      <c r="AB110" t="s">
        <v>1771</v>
      </c>
      <c r="AC110" t="s">
        <v>74</v>
      </c>
      <c r="AD110" t="s">
        <v>74</v>
      </c>
      <c r="AE110" t="s">
        <v>74</v>
      </c>
      <c r="AF110" t="s">
        <v>74</v>
      </c>
      <c r="AG110">
        <v>29</v>
      </c>
      <c r="AH110">
        <v>121</v>
      </c>
      <c r="AI110">
        <v>133</v>
      </c>
      <c r="AJ110">
        <v>0</v>
      </c>
      <c r="AK110">
        <v>24</v>
      </c>
      <c r="AL110" t="s">
        <v>877</v>
      </c>
      <c r="AM110" t="s">
        <v>826</v>
      </c>
      <c r="AN110" t="s">
        <v>827</v>
      </c>
      <c r="AO110" t="s">
        <v>1740</v>
      </c>
      <c r="AP110" t="s">
        <v>1741</v>
      </c>
      <c r="AQ110" t="s">
        <v>74</v>
      </c>
      <c r="AR110" t="s">
        <v>1742</v>
      </c>
      <c r="AS110" t="s">
        <v>1743</v>
      </c>
      <c r="AT110" t="s">
        <v>1222</v>
      </c>
      <c r="AU110">
        <v>1998</v>
      </c>
      <c r="AV110">
        <v>34</v>
      </c>
      <c r="AW110">
        <v>1</v>
      </c>
      <c r="AX110" t="s">
        <v>74</v>
      </c>
      <c r="AY110" t="s">
        <v>74</v>
      </c>
      <c r="AZ110" t="s">
        <v>74</v>
      </c>
      <c r="BA110" t="s">
        <v>74</v>
      </c>
      <c r="BB110">
        <v>118</v>
      </c>
      <c r="BC110">
        <v>125</v>
      </c>
      <c r="BD110" t="s">
        <v>74</v>
      </c>
      <c r="BE110" t="s">
        <v>1772</v>
      </c>
      <c r="BF110" t="str">
        <f>HYPERLINK("http://dx.doi.org/10.1046/j.1529-8817.1998.340118.x","http://dx.doi.org/10.1046/j.1529-8817.1998.340118.x")</f>
        <v>http://dx.doi.org/10.1046/j.1529-8817.1998.340118.x</v>
      </c>
      <c r="BG110" t="s">
        <v>74</v>
      </c>
      <c r="BH110" t="s">
        <v>74</v>
      </c>
      <c r="BI110">
        <v>8</v>
      </c>
      <c r="BJ110" t="s">
        <v>1299</v>
      </c>
      <c r="BK110" t="s">
        <v>98</v>
      </c>
      <c r="BL110" t="s">
        <v>1299</v>
      </c>
      <c r="BM110" t="s">
        <v>1745</v>
      </c>
      <c r="BN110" t="s">
        <v>74</v>
      </c>
      <c r="BO110" t="s">
        <v>100</v>
      </c>
      <c r="BP110" t="s">
        <v>74</v>
      </c>
      <c r="BQ110" t="s">
        <v>74</v>
      </c>
      <c r="BR110" t="s">
        <v>101</v>
      </c>
      <c r="BS110" t="s">
        <v>1773</v>
      </c>
      <c r="BT110" t="str">
        <f>HYPERLINK("https%3A%2F%2Fwww.webofscience.com%2Fwos%2Fwoscc%2Ffull-record%2FWOS:000072527700014","View Full Record in Web of Science")</f>
        <v>View Full Record in Web of Science</v>
      </c>
    </row>
    <row r="111" spans="1:72" x14ac:dyDescent="0.15">
      <c r="A111" t="s">
        <v>72</v>
      </c>
      <c r="B111" t="s">
        <v>1774</v>
      </c>
      <c r="C111" t="s">
        <v>74</v>
      </c>
      <c r="D111" t="s">
        <v>74</v>
      </c>
      <c r="E111" t="s">
        <v>74</v>
      </c>
      <c r="F111" t="s">
        <v>1774</v>
      </c>
      <c r="G111" t="s">
        <v>74</v>
      </c>
      <c r="H111" t="s">
        <v>74</v>
      </c>
      <c r="I111" t="s">
        <v>1775</v>
      </c>
      <c r="J111" t="s">
        <v>1776</v>
      </c>
      <c r="K111" t="s">
        <v>74</v>
      </c>
      <c r="L111" t="s">
        <v>74</v>
      </c>
      <c r="M111" t="s">
        <v>77</v>
      </c>
      <c r="N111" t="s">
        <v>78</v>
      </c>
      <c r="O111" t="s">
        <v>74</v>
      </c>
      <c r="P111" t="s">
        <v>74</v>
      </c>
      <c r="Q111" t="s">
        <v>74</v>
      </c>
      <c r="R111" t="s">
        <v>74</v>
      </c>
      <c r="S111" t="s">
        <v>74</v>
      </c>
      <c r="T111" t="s">
        <v>1777</v>
      </c>
      <c r="U111" t="s">
        <v>1778</v>
      </c>
      <c r="V111" t="s">
        <v>1779</v>
      </c>
      <c r="W111" t="s">
        <v>1780</v>
      </c>
      <c r="X111" t="s">
        <v>1781</v>
      </c>
      <c r="Y111" t="s">
        <v>1782</v>
      </c>
      <c r="Z111" t="s">
        <v>74</v>
      </c>
      <c r="AA111" t="s">
        <v>74</v>
      </c>
      <c r="AB111" t="s">
        <v>74</v>
      </c>
      <c r="AC111" t="s">
        <v>74</v>
      </c>
      <c r="AD111" t="s">
        <v>74</v>
      </c>
      <c r="AE111" t="s">
        <v>74</v>
      </c>
      <c r="AF111" t="s">
        <v>74</v>
      </c>
      <c r="AG111">
        <v>72</v>
      </c>
      <c r="AH111">
        <v>55</v>
      </c>
      <c r="AI111">
        <v>60</v>
      </c>
      <c r="AJ111">
        <v>0</v>
      </c>
      <c r="AK111">
        <v>13</v>
      </c>
      <c r="AL111" t="s">
        <v>812</v>
      </c>
      <c r="AM111" t="s">
        <v>826</v>
      </c>
      <c r="AN111" t="s">
        <v>827</v>
      </c>
      <c r="AO111" t="s">
        <v>1783</v>
      </c>
      <c r="AP111" t="s">
        <v>1784</v>
      </c>
      <c r="AQ111" t="s">
        <v>74</v>
      </c>
      <c r="AR111" t="s">
        <v>1785</v>
      </c>
      <c r="AS111" t="s">
        <v>1786</v>
      </c>
      <c r="AT111" t="s">
        <v>1222</v>
      </c>
      <c r="AU111">
        <v>1998</v>
      </c>
      <c r="AV111">
        <v>244</v>
      </c>
      <c r="AW111" t="s">
        <v>74</v>
      </c>
      <c r="AX111">
        <v>2</v>
      </c>
      <c r="AY111" t="s">
        <v>74</v>
      </c>
      <c r="AZ111" t="s">
        <v>74</v>
      </c>
      <c r="BA111" t="s">
        <v>74</v>
      </c>
      <c r="BB111">
        <v>185</v>
      </c>
      <c r="BC111">
        <v>200</v>
      </c>
      <c r="BD111" t="s">
        <v>74</v>
      </c>
      <c r="BE111" t="s">
        <v>1787</v>
      </c>
      <c r="BF111" t="str">
        <f>HYPERLINK("http://dx.doi.org/10.1111/j.1469-7998.1998.tb00024.x","http://dx.doi.org/10.1111/j.1469-7998.1998.tb00024.x")</f>
        <v>http://dx.doi.org/10.1111/j.1469-7998.1998.tb00024.x</v>
      </c>
      <c r="BG111" t="s">
        <v>74</v>
      </c>
      <c r="BH111" t="s">
        <v>74</v>
      </c>
      <c r="BI111">
        <v>16</v>
      </c>
      <c r="BJ111" t="s">
        <v>417</v>
      </c>
      <c r="BK111" t="s">
        <v>98</v>
      </c>
      <c r="BL111" t="s">
        <v>417</v>
      </c>
      <c r="BM111" t="s">
        <v>1788</v>
      </c>
      <c r="BN111" t="s">
        <v>74</v>
      </c>
      <c r="BO111" t="s">
        <v>74</v>
      </c>
      <c r="BP111" t="s">
        <v>74</v>
      </c>
      <c r="BQ111" t="s">
        <v>74</v>
      </c>
      <c r="BR111" t="s">
        <v>101</v>
      </c>
      <c r="BS111" t="s">
        <v>1789</v>
      </c>
      <c r="BT111" t="str">
        <f>HYPERLINK("https%3A%2F%2Fwww.webofscience.com%2Fwos%2Fwoscc%2Ffull-record%2FWOS:000073226000005","View Full Record in Web of Science")</f>
        <v>View Full Record in Web of Science</v>
      </c>
    </row>
    <row r="112" spans="1:72" x14ac:dyDescent="0.15">
      <c r="A112" t="s">
        <v>72</v>
      </c>
      <c r="B112" t="s">
        <v>1790</v>
      </c>
      <c r="C112" t="s">
        <v>74</v>
      </c>
      <c r="D112" t="s">
        <v>74</v>
      </c>
      <c r="E112" t="s">
        <v>74</v>
      </c>
      <c r="F112" t="s">
        <v>1790</v>
      </c>
      <c r="G112" t="s">
        <v>74</v>
      </c>
      <c r="H112" t="s">
        <v>74</v>
      </c>
      <c r="I112" t="s">
        <v>1791</v>
      </c>
      <c r="J112" t="s">
        <v>1792</v>
      </c>
      <c r="K112" t="s">
        <v>74</v>
      </c>
      <c r="L112" t="s">
        <v>74</v>
      </c>
      <c r="M112" t="s">
        <v>77</v>
      </c>
      <c r="N112" t="s">
        <v>78</v>
      </c>
      <c r="O112" t="s">
        <v>74</v>
      </c>
      <c r="P112" t="s">
        <v>74</v>
      </c>
      <c r="Q112" t="s">
        <v>74</v>
      </c>
      <c r="R112" t="s">
        <v>74</v>
      </c>
      <c r="S112" t="s">
        <v>74</v>
      </c>
      <c r="T112" t="s">
        <v>74</v>
      </c>
      <c r="U112" t="s">
        <v>1793</v>
      </c>
      <c r="V112" t="s">
        <v>1794</v>
      </c>
      <c r="W112" t="s">
        <v>1795</v>
      </c>
      <c r="X112" t="s">
        <v>1112</v>
      </c>
      <c r="Y112" t="s">
        <v>1796</v>
      </c>
      <c r="Z112" t="s">
        <v>74</v>
      </c>
      <c r="AA112" t="s">
        <v>74</v>
      </c>
      <c r="AB112" t="s">
        <v>1797</v>
      </c>
      <c r="AC112" t="s">
        <v>74</v>
      </c>
      <c r="AD112" t="s">
        <v>74</v>
      </c>
      <c r="AE112" t="s">
        <v>74</v>
      </c>
      <c r="AF112" t="s">
        <v>74</v>
      </c>
      <c r="AG112">
        <v>54</v>
      </c>
      <c r="AH112">
        <v>64</v>
      </c>
      <c r="AI112">
        <v>70</v>
      </c>
      <c r="AJ112">
        <v>2</v>
      </c>
      <c r="AK112">
        <v>44</v>
      </c>
      <c r="AL112" t="s">
        <v>897</v>
      </c>
      <c r="AM112" t="s">
        <v>244</v>
      </c>
      <c r="AN112" t="s">
        <v>898</v>
      </c>
      <c r="AO112" t="s">
        <v>1798</v>
      </c>
      <c r="AP112" t="s">
        <v>74</v>
      </c>
      <c r="AQ112" t="s">
        <v>74</v>
      </c>
      <c r="AR112" t="s">
        <v>1799</v>
      </c>
      <c r="AS112" t="s">
        <v>1800</v>
      </c>
      <c r="AT112" t="s">
        <v>1222</v>
      </c>
      <c r="AU112">
        <v>1998</v>
      </c>
      <c r="AV112">
        <v>130</v>
      </c>
      <c r="AW112">
        <v>3</v>
      </c>
      <c r="AX112" t="s">
        <v>74</v>
      </c>
      <c r="AY112" t="s">
        <v>74</v>
      </c>
      <c r="AZ112" t="s">
        <v>74</v>
      </c>
      <c r="BA112" t="s">
        <v>74</v>
      </c>
      <c r="BB112">
        <v>335</v>
      </c>
      <c r="BC112">
        <v>344</v>
      </c>
      <c r="BD112" t="s">
        <v>74</v>
      </c>
      <c r="BE112" t="s">
        <v>1801</v>
      </c>
      <c r="BF112" t="str">
        <f>HYPERLINK("http://dx.doi.org/10.1007/s002270050253","http://dx.doi.org/10.1007/s002270050253")</f>
        <v>http://dx.doi.org/10.1007/s002270050253</v>
      </c>
      <c r="BG112" t="s">
        <v>74</v>
      </c>
      <c r="BH112" t="s">
        <v>74</v>
      </c>
      <c r="BI112">
        <v>10</v>
      </c>
      <c r="BJ112" t="s">
        <v>1802</v>
      </c>
      <c r="BK112" t="s">
        <v>98</v>
      </c>
      <c r="BL112" t="s">
        <v>1802</v>
      </c>
      <c r="BM112" t="s">
        <v>1803</v>
      </c>
      <c r="BN112" t="s">
        <v>74</v>
      </c>
      <c r="BO112" t="s">
        <v>74</v>
      </c>
      <c r="BP112" t="s">
        <v>74</v>
      </c>
      <c r="BQ112" t="s">
        <v>74</v>
      </c>
      <c r="BR112" t="s">
        <v>101</v>
      </c>
      <c r="BS112" t="s">
        <v>1804</v>
      </c>
      <c r="BT112" t="str">
        <f>HYPERLINK("https%3A%2F%2Fwww.webofscience.com%2Fwos%2Fwoscc%2Ffull-record%2FWOS:000072134700001","View Full Record in Web of Science")</f>
        <v>View Full Record in Web of Science</v>
      </c>
    </row>
    <row r="113" spans="1:72" x14ac:dyDescent="0.15">
      <c r="A113" t="s">
        <v>72</v>
      </c>
      <c r="B113" t="s">
        <v>1805</v>
      </c>
      <c r="C113" t="s">
        <v>74</v>
      </c>
      <c r="D113" t="s">
        <v>74</v>
      </c>
      <c r="E113" t="s">
        <v>74</v>
      </c>
      <c r="F113" t="s">
        <v>1805</v>
      </c>
      <c r="G113" t="s">
        <v>74</v>
      </c>
      <c r="H113" t="s">
        <v>74</v>
      </c>
      <c r="I113" t="s">
        <v>1806</v>
      </c>
      <c r="J113" t="s">
        <v>1792</v>
      </c>
      <c r="K113" t="s">
        <v>74</v>
      </c>
      <c r="L113" t="s">
        <v>74</v>
      </c>
      <c r="M113" t="s">
        <v>77</v>
      </c>
      <c r="N113" t="s">
        <v>78</v>
      </c>
      <c r="O113" t="s">
        <v>74</v>
      </c>
      <c r="P113" t="s">
        <v>74</v>
      </c>
      <c r="Q113" t="s">
        <v>74</v>
      </c>
      <c r="R113" t="s">
        <v>74</v>
      </c>
      <c r="S113" t="s">
        <v>74</v>
      </c>
      <c r="T113" t="s">
        <v>74</v>
      </c>
      <c r="U113" t="s">
        <v>1807</v>
      </c>
      <c r="V113" t="s">
        <v>1808</v>
      </c>
      <c r="W113" t="s">
        <v>1809</v>
      </c>
      <c r="X113" t="s">
        <v>1810</v>
      </c>
      <c r="Y113" t="s">
        <v>1811</v>
      </c>
      <c r="Z113" t="s">
        <v>74</v>
      </c>
      <c r="AA113" t="s">
        <v>1812</v>
      </c>
      <c r="AB113" t="s">
        <v>1813</v>
      </c>
      <c r="AC113" t="s">
        <v>74</v>
      </c>
      <c r="AD113" t="s">
        <v>74</v>
      </c>
      <c r="AE113" t="s">
        <v>74</v>
      </c>
      <c r="AF113" t="s">
        <v>74</v>
      </c>
      <c r="AG113">
        <v>38</v>
      </c>
      <c r="AH113">
        <v>81</v>
      </c>
      <c r="AI113">
        <v>85</v>
      </c>
      <c r="AJ113">
        <v>0</v>
      </c>
      <c r="AK113">
        <v>16</v>
      </c>
      <c r="AL113" t="s">
        <v>897</v>
      </c>
      <c r="AM113" t="s">
        <v>244</v>
      </c>
      <c r="AN113" t="s">
        <v>898</v>
      </c>
      <c r="AO113" t="s">
        <v>1798</v>
      </c>
      <c r="AP113" t="s">
        <v>74</v>
      </c>
      <c r="AQ113" t="s">
        <v>74</v>
      </c>
      <c r="AR113" t="s">
        <v>1799</v>
      </c>
      <c r="AS113" t="s">
        <v>1800</v>
      </c>
      <c r="AT113" t="s">
        <v>1222</v>
      </c>
      <c r="AU113">
        <v>1998</v>
      </c>
      <c r="AV113">
        <v>130</v>
      </c>
      <c r="AW113">
        <v>3</v>
      </c>
      <c r="AX113" t="s">
        <v>74</v>
      </c>
      <c r="AY113" t="s">
        <v>74</v>
      </c>
      <c r="AZ113" t="s">
        <v>74</v>
      </c>
      <c r="BA113" t="s">
        <v>74</v>
      </c>
      <c r="BB113">
        <v>389</v>
      </c>
      <c r="BC113">
        <v>396</v>
      </c>
      <c r="BD113" t="s">
        <v>74</v>
      </c>
      <c r="BE113" t="s">
        <v>1814</v>
      </c>
      <c r="BF113" t="str">
        <f>HYPERLINK("http://dx.doi.org/10.1007/s002270050259","http://dx.doi.org/10.1007/s002270050259")</f>
        <v>http://dx.doi.org/10.1007/s002270050259</v>
      </c>
      <c r="BG113" t="s">
        <v>74</v>
      </c>
      <c r="BH113" t="s">
        <v>74</v>
      </c>
      <c r="BI113">
        <v>8</v>
      </c>
      <c r="BJ113" t="s">
        <v>1802</v>
      </c>
      <c r="BK113" t="s">
        <v>98</v>
      </c>
      <c r="BL113" t="s">
        <v>1802</v>
      </c>
      <c r="BM113" t="s">
        <v>1803</v>
      </c>
      <c r="BN113" t="s">
        <v>74</v>
      </c>
      <c r="BO113" t="s">
        <v>74</v>
      </c>
      <c r="BP113" t="s">
        <v>74</v>
      </c>
      <c r="BQ113" t="s">
        <v>74</v>
      </c>
      <c r="BR113" t="s">
        <v>101</v>
      </c>
      <c r="BS113" t="s">
        <v>1815</v>
      </c>
      <c r="BT113" t="str">
        <f>HYPERLINK("https%3A%2F%2Fwww.webofscience.com%2Fwos%2Fwoscc%2Ffull-record%2FWOS:000072134700007","View Full Record in Web of Science")</f>
        <v>View Full Record in Web of Science</v>
      </c>
    </row>
    <row r="114" spans="1:72" x14ac:dyDescent="0.15">
      <c r="A114" t="s">
        <v>72</v>
      </c>
      <c r="B114" t="s">
        <v>1816</v>
      </c>
      <c r="C114" t="s">
        <v>74</v>
      </c>
      <c r="D114" t="s">
        <v>74</v>
      </c>
      <c r="E114" t="s">
        <v>74</v>
      </c>
      <c r="F114" t="s">
        <v>1816</v>
      </c>
      <c r="G114" t="s">
        <v>74</v>
      </c>
      <c r="H114" t="s">
        <v>74</v>
      </c>
      <c r="I114" t="s">
        <v>1817</v>
      </c>
      <c r="J114" t="s">
        <v>1818</v>
      </c>
      <c r="K114" t="s">
        <v>74</v>
      </c>
      <c r="L114" t="s">
        <v>74</v>
      </c>
      <c r="M114" t="s">
        <v>77</v>
      </c>
      <c r="N114" t="s">
        <v>78</v>
      </c>
      <c r="O114" t="s">
        <v>74</v>
      </c>
      <c r="P114" t="s">
        <v>74</v>
      </c>
      <c r="Q114" t="s">
        <v>74</v>
      </c>
      <c r="R114" t="s">
        <v>74</v>
      </c>
      <c r="S114" t="s">
        <v>74</v>
      </c>
      <c r="T114" t="s">
        <v>1819</v>
      </c>
      <c r="U114" t="s">
        <v>1820</v>
      </c>
      <c r="V114" t="s">
        <v>1821</v>
      </c>
      <c r="W114" t="s">
        <v>1822</v>
      </c>
      <c r="X114" t="s">
        <v>1823</v>
      </c>
      <c r="Y114" t="s">
        <v>1824</v>
      </c>
      <c r="Z114" t="s">
        <v>74</v>
      </c>
      <c r="AA114" t="s">
        <v>74</v>
      </c>
      <c r="AB114" t="s">
        <v>74</v>
      </c>
      <c r="AC114" t="s">
        <v>74</v>
      </c>
      <c r="AD114" t="s">
        <v>74</v>
      </c>
      <c r="AE114" t="s">
        <v>74</v>
      </c>
      <c r="AF114" t="s">
        <v>74</v>
      </c>
      <c r="AG114">
        <v>39</v>
      </c>
      <c r="AH114">
        <v>61</v>
      </c>
      <c r="AI114">
        <v>63</v>
      </c>
      <c r="AJ114">
        <v>1</v>
      </c>
      <c r="AK114">
        <v>16</v>
      </c>
      <c r="AL114" t="s">
        <v>897</v>
      </c>
      <c r="AM114" t="s">
        <v>244</v>
      </c>
      <c r="AN114" t="s">
        <v>898</v>
      </c>
      <c r="AO114" t="s">
        <v>1825</v>
      </c>
      <c r="AP114" t="s">
        <v>74</v>
      </c>
      <c r="AQ114" t="s">
        <v>74</v>
      </c>
      <c r="AR114" t="s">
        <v>1818</v>
      </c>
      <c r="AS114" t="s">
        <v>1826</v>
      </c>
      <c r="AT114" t="s">
        <v>1222</v>
      </c>
      <c r="AU114">
        <v>1998</v>
      </c>
      <c r="AV114">
        <v>113</v>
      </c>
      <c r="AW114">
        <v>3</v>
      </c>
      <c r="AX114" t="s">
        <v>74</v>
      </c>
      <c r="AY114" t="s">
        <v>74</v>
      </c>
      <c r="AZ114" t="s">
        <v>74</v>
      </c>
      <c r="BA114" t="s">
        <v>74</v>
      </c>
      <c r="BB114">
        <v>325</v>
      </c>
      <c r="BC114">
        <v>331</v>
      </c>
      <c r="BD114" t="s">
        <v>74</v>
      </c>
      <c r="BE114" t="s">
        <v>1827</v>
      </c>
      <c r="BF114" t="str">
        <f>HYPERLINK("http://dx.doi.org/10.1007/s004420050383","http://dx.doi.org/10.1007/s004420050383")</f>
        <v>http://dx.doi.org/10.1007/s004420050383</v>
      </c>
      <c r="BG114" t="s">
        <v>74</v>
      </c>
      <c r="BH114" t="s">
        <v>74</v>
      </c>
      <c r="BI114">
        <v>7</v>
      </c>
      <c r="BJ114" t="s">
        <v>1828</v>
      </c>
      <c r="BK114" t="s">
        <v>98</v>
      </c>
      <c r="BL114" t="s">
        <v>1545</v>
      </c>
      <c r="BM114" t="s">
        <v>1829</v>
      </c>
      <c r="BN114">
        <v>28307816</v>
      </c>
      <c r="BO114" t="s">
        <v>74</v>
      </c>
      <c r="BP114" t="s">
        <v>74</v>
      </c>
      <c r="BQ114" t="s">
        <v>74</v>
      </c>
      <c r="BR114" t="s">
        <v>101</v>
      </c>
      <c r="BS114" t="s">
        <v>1830</v>
      </c>
      <c r="BT114" t="str">
        <f>HYPERLINK("https%3A%2F%2Fwww.webofscience.com%2Fwos%2Fwoscc%2Ffull-record%2FWOS:000071964600003","View Full Record in Web of Science")</f>
        <v>View Full Record in Web of Science</v>
      </c>
    </row>
    <row r="115" spans="1:72" x14ac:dyDescent="0.15">
      <c r="A115" t="s">
        <v>72</v>
      </c>
      <c r="B115" t="s">
        <v>1831</v>
      </c>
      <c r="C115" t="s">
        <v>74</v>
      </c>
      <c r="D115" t="s">
        <v>74</v>
      </c>
      <c r="E115" t="s">
        <v>74</v>
      </c>
      <c r="F115" t="s">
        <v>1831</v>
      </c>
      <c r="G115" t="s">
        <v>74</v>
      </c>
      <c r="H115" t="s">
        <v>74</v>
      </c>
      <c r="I115" t="s">
        <v>1832</v>
      </c>
      <c r="J115" t="s">
        <v>1833</v>
      </c>
      <c r="K115" t="s">
        <v>74</v>
      </c>
      <c r="L115" t="s">
        <v>74</v>
      </c>
      <c r="M115" t="s">
        <v>77</v>
      </c>
      <c r="N115" t="s">
        <v>78</v>
      </c>
      <c r="O115" t="s">
        <v>74</v>
      </c>
      <c r="P115" t="s">
        <v>74</v>
      </c>
      <c r="Q115" t="s">
        <v>74</v>
      </c>
      <c r="R115" t="s">
        <v>74</v>
      </c>
      <c r="S115" t="s">
        <v>74</v>
      </c>
      <c r="T115" t="s">
        <v>74</v>
      </c>
      <c r="U115" t="s">
        <v>1834</v>
      </c>
      <c r="V115" t="s">
        <v>1835</v>
      </c>
      <c r="W115" t="s">
        <v>1836</v>
      </c>
      <c r="X115" t="s">
        <v>1837</v>
      </c>
      <c r="Y115" t="s">
        <v>1838</v>
      </c>
      <c r="Z115" t="s">
        <v>74</v>
      </c>
      <c r="AA115" t="s">
        <v>1839</v>
      </c>
      <c r="AB115" t="s">
        <v>1840</v>
      </c>
      <c r="AC115" t="s">
        <v>74</v>
      </c>
      <c r="AD115" t="s">
        <v>74</v>
      </c>
      <c r="AE115" t="s">
        <v>74</v>
      </c>
      <c r="AF115" t="s">
        <v>74</v>
      </c>
      <c r="AG115">
        <v>59</v>
      </c>
      <c r="AH115">
        <v>112</v>
      </c>
      <c r="AI115">
        <v>118</v>
      </c>
      <c r="AJ115">
        <v>0</v>
      </c>
      <c r="AK115">
        <v>9</v>
      </c>
      <c r="AL115" t="s">
        <v>87</v>
      </c>
      <c r="AM115" t="s">
        <v>88</v>
      </c>
      <c r="AN115" t="s">
        <v>89</v>
      </c>
      <c r="AO115" t="s">
        <v>1841</v>
      </c>
      <c r="AP115" t="s">
        <v>74</v>
      </c>
      <c r="AQ115" t="s">
        <v>74</v>
      </c>
      <c r="AR115" t="s">
        <v>1833</v>
      </c>
      <c r="AS115" t="s">
        <v>1842</v>
      </c>
      <c r="AT115" t="s">
        <v>1222</v>
      </c>
      <c r="AU115">
        <v>1998</v>
      </c>
      <c r="AV115">
        <v>13</v>
      </c>
      <c r="AW115">
        <v>1</v>
      </c>
      <c r="AX115" t="s">
        <v>74</v>
      </c>
      <c r="AY115" t="s">
        <v>74</v>
      </c>
      <c r="AZ115" t="s">
        <v>74</v>
      </c>
      <c r="BA115" t="s">
        <v>74</v>
      </c>
      <c r="BB115">
        <v>70</v>
      </c>
      <c r="BC115">
        <v>83</v>
      </c>
      <c r="BD115" t="s">
        <v>74</v>
      </c>
      <c r="BE115" t="s">
        <v>1843</v>
      </c>
      <c r="BF115" t="str">
        <f>HYPERLINK("http://dx.doi.org/10.1029/97PA02982","http://dx.doi.org/10.1029/97PA02982")</f>
        <v>http://dx.doi.org/10.1029/97PA02982</v>
      </c>
      <c r="BG115" t="s">
        <v>74</v>
      </c>
      <c r="BH115" t="s">
        <v>74</v>
      </c>
      <c r="BI115">
        <v>14</v>
      </c>
      <c r="BJ115" t="s">
        <v>1844</v>
      </c>
      <c r="BK115" t="s">
        <v>98</v>
      </c>
      <c r="BL115" t="s">
        <v>1845</v>
      </c>
      <c r="BM115" t="s">
        <v>1846</v>
      </c>
      <c r="BN115" t="s">
        <v>74</v>
      </c>
      <c r="BO115" t="s">
        <v>74</v>
      </c>
      <c r="BP115" t="s">
        <v>74</v>
      </c>
      <c r="BQ115" t="s">
        <v>74</v>
      </c>
      <c r="BR115" t="s">
        <v>101</v>
      </c>
      <c r="BS115" t="s">
        <v>1847</v>
      </c>
      <c r="BT115" t="str">
        <f>HYPERLINK("https%3A%2F%2Fwww.webofscience.com%2Fwos%2Fwoscc%2Ffull-record%2FWOS:000071657300008","View Full Record in Web of Science")</f>
        <v>View Full Record in Web of Science</v>
      </c>
    </row>
    <row r="116" spans="1:72" x14ac:dyDescent="0.15">
      <c r="A116" t="s">
        <v>72</v>
      </c>
      <c r="B116" t="s">
        <v>1848</v>
      </c>
      <c r="C116" t="s">
        <v>74</v>
      </c>
      <c r="D116" t="s">
        <v>74</v>
      </c>
      <c r="E116" t="s">
        <v>74</v>
      </c>
      <c r="F116" t="s">
        <v>1848</v>
      </c>
      <c r="G116" t="s">
        <v>74</v>
      </c>
      <c r="H116" t="s">
        <v>74</v>
      </c>
      <c r="I116" t="s">
        <v>1849</v>
      </c>
      <c r="J116" t="s">
        <v>888</v>
      </c>
      <c r="K116" t="s">
        <v>74</v>
      </c>
      <c r="L116" t="s">
        <v>74</v>
      </c>
      <c r="M116" t="s">
        <v>77</v>
      </c>
      <c r="N116" t="s">
        <v>78</v>
      </c>
      <c r="O116" t="s">
        <v>74</v>
      </c>
      <c r="P116" t="s">
        <v>74</v>
      </c>
      <c r="Q116" t="s">
        <v>74</v>
      </c>
      <c r="R116" t="s">
        <v>74</v>
      </c>
      <c r="S116" t="s">
        <v>74</v>
      </c>
      <c r="T116" t="s">
        <v>74</v>
      </c>
      <c r="U116" t="s">
        <v>74</v>
      </c>
      <c r="V116" t="s">
        <v>1850</v>
      </c>
      <c r="W116" t="s">
        <v>1851</v>
      </c>
      <c r="X116" t="s">
        <v>1852</v>
      </c>
      <c r="Y116" t="s">
        <v>1853</v>
      </c>
      <c r="Z116" t="s">
        <v>74</v>
      </c>
      <c r="AA116" t="s">
        <v>1854</v>
      </c>
      <c r="AB116" t="s">
        <v>1855</v>
      </c>
      <c r="AC116" t="s">
        <v>74</v>
      </c>
      <c r="AD116" t="s">
        <v>74</v>
      </c>
      <c r="AE116" t="s">
        <v>74</v>
      </c>
      <c r="AF116" t="s">
        <v>74</v>
      </c>
      <c r="AG116">
        <v>20</v>
      </c>
      <c r="AH116">
        <v>19</v>
      </c>
      <c r="AI116">
        <v>19</v>
      </c>
      <c r="AJ116">
        <v>0</v>
      </c>
      <c r="AK116">
        <v>0</v>
      </c>
      <c r="AL116" t="s">
        <v>897</v>
      </c>
      <c r="AM116" t="s">
        <v>244</v>
      </c>
      <c r="AN116" t="s">
        <v>898</v>
      </c>
      <c r="AO116" t="s">
        <v>899</v>
      </c>
      <c r="AP116" t="s">
        <v>74</v>
      </c>
      <c r="AQ116" t="s">
        <v>74</v>
      </c>
      <c r="AR116" t="s">
        <v>900</v>
      </c>
      <c r="AS116" t="s">
        <v>901</v>
      </c>
      <c r="AT116" t="s">
        <v>1222</v>
      </c>
      <c r="AU116">
        <v>1998</v>
      </c>
      <c r="AV116">
        <v>19</v>
      </c>
      <c r="AW116">
        <v>2</v>
      </c>
      <c r="AX116" t="s">
        <v>74</v>
      </c>
      <c r="AY116" t="s">
        <v>74</v>
      </c>
      <c r="AZ116" t="s">
        <v>74</v>
      </c>
      <c r="BA116" t="s">
        <v>74</v>
      </c>
      <c r="BB116">
        <v>77</v>
      </c>
      <c r="BC116">
        <v>84</v>
      </c>
      <c r="BD116" t="s">
        <v>74</v>
      </c>
      <c r="BE116" t="s">
        <v>74</v>
      </c>
      <c r="BF116" t="s">
        <v>74</v>
      </c>
      <c r="BG116" t="s">
        <v>74</v>
      </c>
      <c r="BH116" t="s">
        <v>74</v>
      </c>
      <c r="BI116">
        <v>8</v>
      </c>
      <c r="BJ116" t="s">
        <v>903</v>
      </c>
      <c r="BK116" t="s">
        <v>98</v>
      </c>
      <c r="BL116" t="s">
        <v>904</v>
      </c>
      <c r="BM116" t="s">
        <v>1856</v>
      </c>
      <c r="BN116" t="s">
        <v>74</v>
      </c>
      <c r="BO116" t="s">
        <v>74</v>
      </c>
      <c r="BP116" t="s">
        <v>74</v>
      </c>
      <c r="BQ116" t="s">
        <v>74</v>
      </c>
      <c r="BR116" t="s">
        <v>101</v>
      </c>
      <c r="BS116" t="s">
        <v>1857</v>
      </c>
      <c r="BT116" t="str">
        <f>HYPERLINK("https%3A%2F%2Fwww.webofscience.com%2Fwos%2Fwoscc%2Ffull-record%2FWOS:000071833500001","View Full Record in Web of Science")</f>
        <v>View Full Record in Web of Science</v>
      </c>
    </row>
    <row r="117" spans="1:72" x14ac:dyDescent="0.15">
      <c r="A117" t="s">
        <v>72</v>
      </c>
      <c r="B117" t="s">
        <v>1858</v>
      </c>
      <c r="C117" t="s">
        <v>74</v>
      </c>
      <c r="D117" t="s">
        <v>74</v>
      </c>
      <c r="E117" t="s">
        <v>74</v>
      </c>
      <c r="F117" t="s">
        <v>1858</v>
      </c>
      <c r="G117" t="s">
        <v>74</v>
      </c>
      <c r="H117" t="s">
        <v>74</v>
      </c>
      <c r="I117" t="s">
        <v>1859</v>
      </c>
      <c r="J117" t="s">
        <v>888</v>
      </c>
      <c r="K117" t="s">
        <v>74</v>
      </c>
      <c r="L117" t="s">
        <v>74</v>
      </c>
      <c r="M117" t="s">
        <v>77</v>
      </c>
      <c r="N117" t="s">
        <v>78</v>
      </c>
      <c r="O117" t="s">
        <v>74</v>
      </c>
      <c r="P117" t="s">
        <v>74</v>
      </c>
      <c r="Q117" t="s">
        <v>74</v>
      </c>
      <c r="R117" t="s">
        <v>74</v>
      </c>
      <c r="S117" t="s">
        <v>74</v>
      </c>
      <c r="T117" t="s">
        <v>74</v>
      </c>
      <c r="U117" t="s">
        <v>1860</v>
      </c>
      <c r="V117" t="s">
        <v>1861</v>
      </c>
      <c r="W117" t="s">
        <v>671</v>
      </c>
      <c r="X117" t="s">
        <v>672</v>
      </c>
      <c r="Y117" t="s">
        <v>1862</v>
      </c>
      <c r="Z117" t="s">
        <v>74</v>
      </c>
      <c r="AA117" t="s">
        <v>74</v>
      </c>
      <c r="AB117" t="s">
        <v>74</v>
      </c>
      <c r="AC117" t="s">
        <v>74</v>
      </c>
      <c r="AD117" t="s">
        <v>74</v>
      </c>
      <c r="AE117" t="s">
        <v>74</v>
      </c>
      <c r="AF117" t="s">
        <v>74</v>
      </c>
      <c r="AG117">
        <v>50</v>
      </c>
      <c r="AH117">
        <v>56</v>
      </c>
      <c r="AI117">
        <v>60</v>
      </c>
      <c r="AJ117">
        <v>1</v>
      </c>
      <c r="AK117">
        <v>9</v>
      </c>
      <c r="AL117" t="s">
        <v>897</v>
      </c>
      <c r="AM117" t="s">
        <v>244</v>
      </c>
      <c r="AN117" t="s">
        <v>898</v>
      </c>
      <c r="AO117" t="s">
        <v>899</v>
      </c>
      <c r="AP117" t="s">
        <v>74</v>
      </c>
      <c r="AQ117" t="s">
        <v>74</v>
      </c>
      <c r="AR117" t="s">
        <v>900</v>
      </c>
      <c r="AS117" t="s">
        <v>901</v>
      </c>
      <c r="AT117" t="s">
        <v>1222</v>
      </c>
      <c r="AU117">
        <v>1998</v>
      </c>
      <c r="AV117">
        <v>19</v>
      </c>
      <c r="AW117">
        <v>2</v>
      </c>
      <c r="AX117" t="s">
        <v>74</v>
      </c>
      <c r="AY117" t="s">
        <v>74</v>
      </c>
      <c r="AZ117" t="s">
        <v>74</v>
      </c>
      <c r="BA117" t="s">
        <v>74</v>
      </c>
      <c r="BB117">
        <v>92</v>
      </c>
      <c r="BC117">
        <v>100</v>
      </c>
      <c r="BD117" t="s">
        <v>74</v>
      </c>
      <c r="BE117" t="s">
        <v>1863</v>
      </c>
      <c r="BF117" t="str">
        <f>HYPERLINK("http://dx.doi.org/10.1007/s003000050219","http://dx.doi.org/10.1007/s003000050219")</f>
        <v>http://dx.doi.org/10.1007/s003000050219</v>
      </c>
      <c r="BG117" t="s">
        <v>74</v>
      </c>
      <c r="BH117" t="s">
        <v>74</v>
      </c>
      <c r="BI117">
        <v>9</v>
      </c>
      <c r="BJ117" t="s">
        <v>903</v>
      </c>
      <c r="BK117" t="s">
        <v>98</v>
      </c>
      <c r="BL117" t="s">
        <v>904</v>
      </c>
      <c r="BM117" t="s">
        <v>1856</v>
      </c>
      <c r="BN117" t="s">
        <v>74</v>
      </c>
      <c r="BO117" t="s">
        <v>74</v>
      </c>
      <c r="BP117" t="s">
        <v>74</v>
      </c>
      <c r="BQ117" t="s">
        <v>74</v>
      </c>
      <c r="BR117" t="s">
        <v>101</v>
      </c>
      <c r="BS117" t="s">
        <v>1864</v>
      </c>
      <c r="BT117" t="str">
        <f>HYPERLINK("https%3A%2F%2Fwww.webofscience.com%2Fwos%2Fwoscc%2Ffull-record%2FWOS:000071833500003","View Full Record in Web of Science")</f>
        <v>View Full Record in Web of Science</v>
      </c>
    </row>
    <row r="118" spans="1:72" x14ac:dyDescent="0.15">
      <c r="A118" t="s">
        <v>72</v>
      </c>
      <c r="B118" t="s">
        <v>1816</v>
      </c>
      <c r="C118" t="s">
        <v>74</v>
      </c>
      <c r="D118" t="s">
        <v>74</v>
      </c>
      <c r="E118" t="s">
        <v>74</v>
      </c>
      <c r="F118" t="s">
        <v>1816</v>
      </c>
      <c r="G118" t="s">
        <v>74</v>
      </c>
      <c r="H118" t="s">
        <v>74</v>
      </c>
      <c r="I118" t="s">
        <v>1865</v>
      </c>
      <c r="J118" t="s">
        <v>888</v>
      </c>
      <c r="K118" t="s">
        <v>74</v>
      </c>
      <c r="L118" t="s">
        <v>74</v>
      </c>
      <c r="M118" t="s">
        <v>77</v>
      </c>
      <c r="N118" t="s">
        <v>78</v>
      </c>
      <c r="O118" t="s">
        <v>74</v>
      </c>
      <c r="P118" t="s">
        <v>74</v>
      </c>
      <c r="Q118" t="s">
        <v>74</v>
      </c>
      <c r="R118" t="s">
        <v>74</v>
      </c>
      <c r="S118" t="s">
        <v>74</v>
      </c>
      <c r="T118" t="s">
        <v>74</v>
      </c>
      <c r="U118" t="s">
        <v>1866</v>
      </c>
      <c r="V118" t="s">
        <v>1867</v>
      </c>
      <c r="W118" t="s">
        <v>1868</v>
      </c>
      <c r="X118" t="s">
        <v>1869</v>
      </c>
      <c r="Y118" t="s">
        <v>1870</v>
      </c>
      <c r="Z118" t="s">
        <v>74</v>
      </c>
      <c r="AA118" t="s">
        <v>74</v>
      </c>
      <c r="AB118" t="s">
        <v>74</v>
      </c>
      <c r="AC118" t="s">
        <v>74</v>
      </c>
      <c r="AD118" t="s">
        <v>74</v>
      </c>
      <c r="AE118" t="s">
        <v>74</v>
      </c>
      <c r="AF118" t="s">
        <v>74</v>
      </c>
      <c r="AG118">
        <v>31</v>
      </c>
      <c r="AH118">
        <v>29</v>
      </c>
      <c r="AI118">
        <v>29</v>
      </c>
      <c r="AJ118">
        <v>0</v>
      </c>
      <c r="AK118">
        <v>9</v>
      </c>
      <c r="AL118" t="s">
        <v>897</v>
      </c>
      <c r="AM118" t="s">
        <v>244</v>
      </c>
      <c r="AN118" t="s">
        <v>898</v>
      </c>
      <c r="AO118" t="s">
        <v>899</v>
      </c>
      <c r="AP118" t="s">
        <v>74</v>
      </c>
      <c r="AQ118" t="s">
        <v>74</v>
      </c>
      <c r="AR118" t="s">
        <v>900</v>
      </c>
      <c r="AS118" t="s">
        <v>901</v>
      </c>
      <c r="AT118" t="s">
        <v>1222</v>
      </c>
      <c r="AU118">
        <v>1998</v>
      </c>
      <c r="AV118">
        <v>19</v>
      </c>
      <c r="AW118">
        <v>2</v>
      </c>
      <c r="AX118" t="s">
        <v>74</v>
      </c>
      <c r="AY118" t="s">
        <v>74</v>
      </c>
      <c r="AZ118" t="s">
        <v>74</v>
      </c>
      <c r="BA118" t="s">
        <v>74</v>
      </c>
      <c r="BB118">
        <v>101</v>
      </c>
      <c r="BC118">
        <v>106</v>
      </c>
      <c r="BD118" t="s">
        <v>74</v>
      </c>
      <c r="BE118" t="s">
        <v>1871</v>
      </c>
      <c r="BF118" t="str">
        <f>HYPERLINK("http://dx.doi.org/10.1007/s003000050220","http://dx.doi.org/10.1007/s003000050220")</f>
        <v>http://dx.doi.org/10.1007/s003000050220</v>
      </c>
      <c r="BG118" t="s">
        <v>74</v>
      </c>
      <c r="BH118" t="s">
        <v>74</v>
      </c>
      <c r="BI118">
        <v>6</v>
      </c>
      <c r="BJ118" t="s">
        <v>903</v>
      </c>
      <c r="BK118" t="s">
        <v>98</v>
      </c>
      <c r="BL118" t="s">
        <v>904</v>
      </c>
      <c r="BM118" t="s">
        <v>1856</v>
      </c>
      <c r="BN118" t="s">
        <v>74</v>
      </c>
      <c r="BO118" t="s">
        <v>74</v>
      </c>
      <c r="BP118" t="s">
        <v>74</v>
      </c>
      <c r="BQ118" t="s">
        <v>74</v>
      </c>
      <c r="BR118" t="s">
        <v>101</v>
      </c>
      <c r="BS118" t="s">
        <v>1872</v>
      </c>
      <c r="BT118" t="str">
        <f>HYPERLINK("https%3A%2F%2Fwww.webofscience.com%2Fwos%2Fwoscc%2Ffull-record%2FWOS:000071833500004","View Full Record in Web of Science")</f>
        <v>View Full Record in Web of Science</v>
      </c>
    </row>
    <row r="119" spans="1:72" x14ac:dyDescent="0.15">
      <c r="A119" t="s">
        <v>72</v>
      </c>
      <c r="B119" t="s">
        <v>1873</v>
      </c>
      <c r="C119" t="s">
        <v>74</v>
      </c>
      <c r="D119" t="s">
        <v>74</v>
      </c>
      <c r="E119" t="s">
        <v>74</v>
      </c>
      <c r="F119" t="s">
        <v>1873</v>
      </c>
      <c r="G119" t="s">
        <v>74</v>
      </c>
      <c r="H119" t="s">
        <v>74</v>
      </c>
      <c r="I119" t="s">
        <v>1874</v>
      </c>
      <c r="J119" t="s">
        <v>888</v>
      </c>
      <c r="K119" t="s">
        <v>74</v>
      </c>
      <c r="L119" t="s">
        <v>74</v>
      </c>
      <c r="M119" t="s">
        <v>77</v>
      </c>
      <c r="N119" t="s">
        <v>78</v>
      </c>
      <c r="O119" t="s">
        <v>74</v>
      </c>
      <c r="P119" t="s">
        <v>74</v>
      </c>
      <c r="Q119" t="s">
        <v>74</v>
      </c>
      <c r="R119" t="s">
        <v>74</v>
      </c>
      <c r="S119" t="s">
        <v>74</v>
      </c>
      <c r="T119" t="s">
        <v>74</v>
      </c>
      <c r="U119" t="s">
        <v>1875</v>
      </c>
      <c r="V119" t="s">
        <v>1876</v>
      </c>
      <c r="W119" t="s">
        <v>1877</v>
      </c>
      <c r="X119" t="s">
        <v>705</v>
      </c>
      <c r="Y119" t="s">
        <v>1878</v>
      </c>
      <c r="Z119" t="s">
        <v>74</v>
      </c>
      <c r="AA119" t="s">
        <v>74</v>
      </c>
      <c r="AB119" t="s">
        <v>1879</v>
      </c>
      <c r="AC119" t="s">
        <v>74</v>
      </c>
      <c r="AD119" t="s">
        <v>74</v>
      </c>
      <c r="AE119" t="s">
        <v>74</v>
      </c>
      <c r="AF119" t="s">
        <v>74</v>
      </c>
      <c r="AG119">
        <v>31</v>
      </c>
      <c r="AH119">
        <v>29</v>
      </c>
      <c r="AI119">
        <v>39</v>
      </c>
      <c r="AJ119">
        <v>0</v>
      </c>
      <c r="AK119">
        <v>9</v>
      </c>
      <c r="AL119" t="s">
        <v>897</v>
      </c>
      <c r="AM119" t="s">
        <v>244</v>
      </c>
      <c r="AN119" t="s">
        <v>898</v>
      </c>
      <c r="AO119" t="s">
        <v>899</v>
      </c>
      <c r="AP119" t="s">
        <v>74</v>
      </c>
      <c r="AQ119" t="s">
        <v>74</v>
      </c>
      <c r="AR119" t="s">
        <v>900</v>
      </c>
      <c r="AS119" t="s">
        <v>901</v>
      </c>
      <c r="AT119" t="s">
        <v>1222</v>
      </c>
      <c r="AU119">
        <v>1998</v>
      </c>
      <c r="AV119">
        <v>19</v>
      </c>
      <c r="AW119">
        <v>2</v>
      </c>
      <c r="AX119" t="s">
        <v>74</v>
      </c>
      <c r="AY119" t="s">
        <v>74</v>
      </c>
      <c r="AZ119" t="s">
        <v>74</v>
      </c>
      <c r="BA119" t="s">
        <v>74</v>
      </c>
      <c r="BB119">
        <v>107</v>
      </c>
      <c r="BC119">
        <v>114</v>
      </c>
      <c r="BD119" t="s">
        <v>74</v>
      </c>
      <c r="BE119" t="s">
        <v>1880</v>
      </c>
      <c r="BF119" t="str">
        <f>HYPERLINK("http://dx.doi.org/10.1007/s003000050221","http://dx.doi.org/10.1007/s003000050221")</f>
        <v>http://dx.doi.org/10.1007/s003000050221</v>
      </c>
      <c r="BG119" t="s">
        <v>74</v>
      </c>
      <c r="BH119" t="s">
        <v>74</v>
      </c>
      <c r="BI119">
        <v>8</v>
      </c>
      <c r="BJ119" t="s">
        <v>903</v>
      </c>
      <c r="BK119" t="s">
        <v>98</v>
      </c>
      <c r="BL119" t="s">
        <v>904</v>
      </c>
      <c r="BM119" t="s">
        <v>1856</v>
      </c>
      <c r="BN119" t="s">
        <v>74</v>
      </c>
      <c r="BO119" t="s">
        <v>74</v>
      </c>
      <c r="BP119" t="s">
        <v>74</v>
      </c>
      <c r="BQ119" t="s">
        <v>74</v>
      </c>
      <c r="BR119" t="s">
        <v>101</v>
      </c>
      <c r="BS119" t="s">
        <v>1881</v>
      </c>
      <c r="BT119" t="str">
        <f>HYPERLINK("https%3A%2F%2Fwww.webofscience.com%2Fwos%2Fwoscc%2Ffull-record%2FWOS:000071833500005","View Full Record in Web of Science")</f>
        <v>View Full Record in Web of Science</v>
      </c>
    </row>
    <row r="120" spans="1:72" x14ac:dyDescent="0.15">
      <c r="A120" t="s">
        <v>72</v>
      </c>
      <c r="B120" t="s">
        <v>1882</v>
      </c>
      <c r="C120" t="s">
        <v>74</v>
      </c>
      <c r="D120" t="s">
        <v>74</v>
      </c>
      <c r="E120" t="s">
        <v>74</v>
      </c>
      <c r="F120" t="s">
        <v>1882</v>
      </c>
      <c r="G120" t="s">
        <v>74</v>
      </c>
      <c r="H120" t="s">
        <v>74</v>
      </c>
      <c r="I120" t="s">
        <v>1883</v>
      </c>
      <c r="J120" t="s">
        <v>888</v>
      </c>
      <c r="K120" t="s">
        <v>74</v>
      </c>
      <c r="L120" t="s">
        <v>74</v>
      </c>
      <c r="M120" t="s">
        <v>77</v>
      </c>
      <c r="N120" t="s">
        <v>78</v>
      </c>
      <c r="O120" t="s">
        <v>74</v>
      </c>
      <c r="P120" t="s">
        <v>74</v>
      </c>
      <c r="Q120" t="s">
        <v>74</v>
      </c>
      <c r="R120" t="s">
        <v>74</v>
      </c>
      <c r="S120" t="s">
        <v>74</v>
      </c>
      <c r="T120" t="s">
        <v>74</v>
      </c>
      <c r="U120" t="s">
        <v>1884</v>
      </c>
      <c r="V120" t="s">
        <v>1885</v>
      </c>
      <c r="W120" t="s">
        <v>1886</v>
      </c>
      <c r="X120" t="s">
        <v>1292</v>
      </c>
      <c r="Y120" t="s">
        <v>1887</v>
      </c>
      <c r="Z120" t="s">
        <v>74</v>
      </c>
      <c r="AA120" t="s">
        <v>74</v>
      </c>
      <c r="AB120" t="s">
        <v>1294</v>
      </c>
      <c r="AC120" t="s">
        <v>74</v>
      </c>
      <c r="AD120" t="s">
        <v>74</v>
      </c>
      <c r="AE120" t="s">
        <v>74</v>
      </c>
      <c r="AF120" t="s">
        <v>74</v>
      </c>
      <c r="AG120">
        <v>65</v>
      </c>
      <c r="AH120">
        <v>38</v>
      </c>
      <c r="AI120">
        <v>41</v>
      </c>
      <c r="AJ120">
        <v>2</v>
      </c>
      <c r="AK120">
        <v>13</v>
      </c>
      <c r="AL120" t="s">
        <v>897</v>
      </c>
      <c r="AM120" t="s">
        <v>244</v>
      </c>
      <c r="AN120" t="s">
        <v>898</v>
      </c>
      <c r="AO120" t="s">
        <v>899</v>
      </c>
      <c r="AP120" t="s">
        <v>74</v>
      </c>
      <c r="AQ120" t="s">
        <v>74</v>
      </c>
      <c r="AR120" t="s">
        <v>900</v>
      </c>
      <c r="AS120" t="s">
        <v>901</v>
      </c>
      <c r="AT120" t="s">
        <v>1222</v>
      </c>
      <c r="AU120">
        <v>1998</v>
      </c>
      <c r="AV120">
        <v>19</v>
      </c>
      <c r="AW120">
        <v>2</v>
      </c>
      <c r="AX120" t="s">
        <v>74</v>
      </c>
      <c r="AY120" t="s">
        <v>74</v>
      </c>
      <c r="AZ120" t="s">
        <v>74</v>
      </c>
      <c r="BA120" t="s">
        <v>74</v>
      </c>
      <c r="BB120">
        <v>115</v>
      </c>
      <c r="BC120">
        <v>124</v>
      </c>
      <c r="BD120" t="s">
        <v>74</v>
      </c>
      <c r="BE120" t="s">
        <v>1888</v>
      </c>
      <c r="BF120" t="str">
        <f>HYPERLINK("http://dx.doi.org/10.1007/s003000050222","http://dx.doi.org/10.1007/s003000050222")</f>
        <v>http://dx.doi.org/10.1007/s003000050222</v>
      </c>
      <c r="BG120" t="s">
        <v>74</v>
      </c>
      <c r="BH120" t="s">
        <v>74</v>
      </c>
      <c r="BI120">
        <v>10</v>
      </c>
      <c r="BJ120" t="s">
        <v>903</v>
      </c>
      <c r="BK120" t="s">
        <v>98</v>
      </c>
      <c r="BL120" t="s">
        <v>904</v>
      </c>
      <c r="BM120" t="s">
        <v>1856</v>
      </c>
      <c r="BN120" t="s">
        <v>74</v>
      </c>
      <c r="BO120" t="s">
        <v>74</v>
      </c>
      <c r="BP120" t="s">
        <v>74</v>
      </c>
      <c r="BQ120" t="s">
        <v>74</v>
      </c>
      <c r="BR120" t="s">
        <v>101</v>
      </c>
      <c r="BS120" t="s">
        <v>1889</v>
      </c>
      <c r="BT120" t="str">
        <f>HYPERLINK("https%3A%2F%2Fwww.webofscience.com%2Fwos%2Fwoscc%2Ffull-record%2FWOS:000071833500006","View Full Record in Web of Science")</f>
        <v>View Full Record in Web of Science</v>
      </c>
    </row>
    <row r="121" spans="1:72" x14ac:dyDescent="0.15">
      <c r="A121" t="s">
        <v>72</v>
      </c>
      <c r="B121" t="s">
        <v>1890</v>
      </c>
      <c r="C121" t="s">
        <v>74</v>
      </c>
      <c r="D121" t="s">
        <v>74</v>
      </c>
      <c r="E121" t="s">
        <v>74</v>
      </c>
      <c r="F121" t="s">
        <v>1890</v>
      </c>
      <c r="G121" t="s">
        <v>74</v>
      </c>
      <c r="H121" t="s">
        <v>74</v>
      </c>
      <c r="I121" t="s">
        <v>1891</v>
      </c>
      <c r="J121" t="s">
        <v>888</v>
      </c>
      <c r="K121" t="s">
        <v>74</v>
      </c>
      <c r="L121" t="s">
        <v>74</v>
      </c>
      <c r="M121" t="s">
        <v>77</v>
      </c>
      <c r="N121" t="s">
        <v>78</v>
      </c>
      <c r="O121" t="s">
        <v>74</v>
      </c>
      <c r="P121" t="s">
        <v>74</v>
      </c>
      <c r="Q121" t="s">
        <v>74</v>
      </c>
      <c r="R121" t="s">
        <v>74</v>
      </c>
      <c r="S121" t="s">
        <v>74</v>
      </c>
      <c r="T121" t="s">
        <v>74</v>
      </c>
      <c r="U121" t="s">
        <v>1892</v>
      </c>
      <c r="V121" t="s">
        <v>1893</v>
      </c>
      <c r="W121" t="s">
        <v>372</v>
      </c>
      <c r="X121" t="s">
        <v>322</v>
      </c>
      <c r="Y121" t="s">
        <v>1894</v>
      </c>
      <c r="Z121" t="s">
        <v>1895</v>
      </c>
      <c r="AA121" t="s">
        <v>74</v>
      </c>
      <c r="AB121" t="s">
        <v>74</v>
      </c>
      <c r="AC121" t="s">
        <v>74</v>
      </c>
      <c r="AD121" t="s">
        <v>74</v>
      </c>
      <c r="AE121" t="s">
        <v>74</v>
      </c>
      <c r="AF121" t="s">
        <v>74</v>
      </c>
      <c r="AG121">
        <v>20</v>
      </c>
      <c r="AH121">
        <v>13</v>
      </c>
      <c r="AI121">
        <v>14</v>
      </c>
      <c r="AJ121">
        <v>0</v>
      </c>
      <c r="AK121">
        <v>3</v>
      </c>
      <c r="AL121" t="s">
        <v>914</v>
      </c>
      <c r="AM121" t="s">
        <v>244</v>
      </c>
      <c r="AN121" t="s">
        <v>1400</v>
      </c>
      <c r="AO121" t="s">
        <v>899</v>
      </c>
      <c r="AP121" t="s">
        <v>916</v>
      </c>
      <c r="AQ121" t="s">
        <v>74</v>
      </c>
      <c r="AR121" t="s">
        <v>900</v>
      </c>
      <c r="AS121" t="s">
        <v>901</v>
      </c>
      <c r="AT121" t="s">
        <v>1222</v>
      </c>
      <c r="AU121">
        <v>1998</v>
      </c>
      <c r="AV121">
        <v>19</v>
      </c>
      <c r="AW121">
        <v>2</v>
      </c>
      <c r="AX121" t="s">
        <v>74</v>
      </c>
      <c r="AY121" t="s">
        <v>74</v>
      </c>
      <c r="AZ121" t="s">
        <v>74</v>
      </c>
      <c r="BA121" t="s">
        <v>74</v>
      </c>
      <c r="BB121">
        <v>142</v>
      </c>
      <c r="BC121">
        <v>144</v>
      </c>
      <c r="BD121" t="s">
        <v>74</v>
      </c>
      <c r="BE121" t="s">
        <v>1896</v>
      </c>
      <c r="BF121" t="str">
        <f>HYPERLINK("http://dx.doi.org/10.1007/s003000050225","http://dx.doi.org/10.1007/s003000050225")</f>
        <v>http://dx.doi.org/10.1007/s003000050225</v>
      </c>
      <c r="BG121" t="s">
        <v>74</v>
      </c>
      <c r="BH121" t="s">
        <v>74</v>
      </c>
      <c r="BI121">
        <v>3</v>
      </c>
      <c r="BJ121" t="s">
        <v>903</v>
      </c>
      <c r="BK121" t="s">
        <v>98</v>
      </c>
      <c r="BL121" t="s">
        <v>904</v>
      </c>
      <c r="BM121" t="s">
        <v>1856</v>
      </c>
      <c r="BN121" t="s">
        <v>74</v>
      </c>
      <c r="BO121" t="s">
        <v>74</v>
      </c>
      <c r="BP121" t="s">
        <v>74</v>
      </c>
      <c r="BQ121" t="s">
        <v>74</v>
      </c>
      <c r="BR121" t="s">
        <v>101</v>
      </c>
      <c r="BS121" t="s">
        <v>1897</v>
      </c>
      <c r="BT121" t="str">
        <f>HYPERLINK("https%3A%2F%2Fwww.webofscience.com%2Fwos%2Fwoscc%2Ffull-record%2FWOS:000071833500009","View Full Record in Web of Science")</f>
        <v>View Full Record in Web of Science</v>
      </c>
    </row>
    <row r="122" spans="1:72" x14ac:dyDescent="0.15">
      <c r="A122" t="s">
        <v>72</v>
      </c>
      <c r="B122" t="s">
        <v>1898</v>
      </c>
      <c r="C122" t="s">
        <v>74</v>
      </c>
      <c r="D122" t="s">
        <v>74</v>
      </c>
      <c r="E122" t="s">
        <v>74</v>
      </c>
      <c r="F122" t="s">
        <v>1898</v>
      </c>
      <c r="G122" t="s">
        <v>74</v>
      </c>
      <c r="H122" t="s">
        <v>74</v>
      </c>
      <c r="I122" t="s">
        <v>1899</v>
      </c>
      <c r="J122" t="s">
        <v>888</v>
      </c>
      <c r="K122" t="s">
        <v>74</v>
      </c>
      <c r="L122" t="s">
        <v>74</v>
      </c>
      <c r="M122" t="s">
        <v>77</v>
      </c>
      <c r="N122" t="s">
        <v>78</v>
      </c>
      <c r="O122" t="s">
        <v>74</v>
      </c>
      <c r="P122" t="s">
        <v>74</v>
      </c>
      <c r="Q122" t="s">
        <v>74</v>
      </c>
      <c r="R122" t="s">
        <v>74</v>
      </c>
      <c r="S122" t="s">
        <v>74</v>
      </c>
      <c r="T122" t="s">
        <v>74</v>
      </c>
      <c r="U122" t="s">
        <v>1900</v>
      </c>
      <c r="V122" t="s">
        <v>1901</v>
      </c>
      <c r="W122" t="s">
        <v>372</v>
      </c>
      <c r="X122" t="s">
        <v>322</v>
      </c>
      <c r="Y122" t="s">
        <v>1902</v>
      </c>
      <c r="Z122" t="s">
        <v>74</v>
      </c>
      <c r="AA122" t="s">
        <v>74</v>
      </c>
      <c r="AB122" t="s">
        <v>74</v>
      </c>
      <c r="AC122" t="s">
        <v>74</v>
      </c>
      <c r="AD122" t="s">
        <v>74</v>
      </c>
      <c r="AE122" t="s">
        <v>74</v>
      </c>
      <c r="AF122" t="s">
        <v>74</v>
      </c>
      <c r="AG122">
        <v>14</v>
      </c>
      <c r="AH122">
        <v>18</v>
      </c>
      <c r="AI122">
        <v>20</v>
      </c>
      <c r="AJ122">
        <v>0</v>
      </c>
      <c r="AK122">
        <v>5</v>
      </c>
      <c r="AL122" t="s">
        <v>897</v>
      </c>
      <c r="AM122" t="s">
        <v>244</v>
      </c>
      <c r="AN122" t="s">
        <v>898</v>
      </c>
      <c r="AO122" t="s">
        <v>899</v>
      </c>
      <c r="AP122" t="s">
        <v>74</v>
      </c>
      <c r="AQ122" t="s">
        <v>74</v>
      </c>
      <c r="AR122" t="s">
        <v>900</v>
      </c>
      <c r="AS122" t="s">
        <v>901</v>
      </c>
      <c r="AT122" t="s">
        <v>1222</v>
      </c>
      <c r="AU122">
        <v>1998</v>
      </c>
      <c r="AV122">
        <v>19</v>
      </c>
      <c r="AW122">
        <v>2</v>
      </c>
      <c r="AX122" t="s">
        <v>74</v>
      </c>
      <c r="AY122" t="s">
        <v>74</v>
      </c>
      <c r="AZ122" t="s">
        <v>74</v>
      </c>
      <c r="BA122" t="s">
        <v>74</v>
      </c>
      <c r="BB122">
        <v>145</v>
      </c>
      <c r="BC122">
        <v>147</v>
      </c>
      <c r="BD122" t="s">
        <v>74</v>
      </c>
      <c r="BE122" t="s">
        <v>1903</v>
      </c>
      <c r="BF122" t="str">
        <f>HYPERLINK("http://dx.doi.org/10.1007/s003000050226","http://dx.doi.org/10.1007/s003000050226")</f>
        <v>http://dx.doi.org/10.1007/s003000050226</v>
      </c>
      <c r="BG122" t="s">
        <v>74</v>
      </c>
      <c r="BH122" t="s">
        <v>74</v>
      </c>
      <c r="BI122">
        <v>3</v>
      </c>
      <c r="BJ122" t="s">
        <v>903</v>
      </c>
      <c r="BK122" t="s">
        <v>98</v>
      </c>
      <c r="BL122" t="s">
        <v>904</v>
      </c>
      <c r="BM122" t="s">
        <v>1856</v>
      </c>
      <c r="BN122" t="s">
        <v>74</v>
      </c>
      <c r="BO122" t="s">
        <v>74</v>
      </c>
      <c r="BP122" t="s">
        <v>74</v>
      </c>
      <c r="BQ122" t="s">
        <v>74</v>
      </c>
      <c r="BR122" t="s">
        <v>101</v>
      </c>
      <c r="BS122" t="s">
        <v>1904</v>
      </c>
      <c r="BT122" t="str">
        <f>HYPERLINK("https%3A%2F%2Fwww.webofscience.com%2Fwos%2Fwoscc%2Ffull-record%2FWOS:000071833500010","View Full Record in Web of Science")</f>
        <v>View Full Record in Web of Science</v>
      </c>
    </row>
    <row r="123" spans="1:72" x14ac:dyDescent="0.15">
      <c r="A123" t="s">
        <v>72</v>
      </c>
      <c r="B123" t="s">
        <v>1905</v>
      </c>
      <c r="C123" t="s">
        <v>74</v>
      </c>
      <c r="D123" t="s">
        <v>74</v>
      </c>
      <c r="E123" t="s">
        <v>74</v>
      </c>
      <c r="F123" t="s">
        <v>1905</v>
      </c>
      <c r="G123" t="s">
        <v>74</v>
      </c>
      <c r="H123" t="s">
        <v>74</v>
      </c>
      <c r="I123" t="s">
        <v>1906</v>
      </c>
      <c r="J123" t="s">
        <v>888</v>
      </c>
      <c r="K123" t="s">
        <v>74</v>
      </c>
      <c r="L123" t="s">
        <v>74</v>
      </c>
      <c r="M123" t="s">
        <v>77</v>
      </c>
      <c r="N123" t="s">
        <v>78</v>
      </c>
      <c r="O123" t="s">
        <v>74</v>
      </c>
      <c r="P123" t="s">
        <v>74</v>
      </c>
      <c r="Q123" t="s">
        <v>74</v>
      </c>
      <c r="R123" t="s">
        <v>74</v>
      </c>
      <c r="S123" t="s">
        <v>74</v>
      </c>
      <c r="T123" t="s">
        <v>74</v>
      </c>
      <c r="U123" t="s">
        <v>74</v>
      </c>
      <c r="V123" t="s">
        <v>1907</v>
      </c>
      <c r="W123" t="s">
        <v>1908</v>
      </c>
      <c r="X123" t="s">
        <v>1909</v>
      </c>
      <c r="Y123" t="s">
        <v>1910</v>
      </c>
      <c r="Z123" t="s">
        <v>1911</v>
      </c>
      <c r="AA123" t="s">
        <v>74</v>
      </c>
      <c r="AB123" t="s">
        <v>1912</v>
      </c>
      <c r="AC123" t="s">
        <v>74</v>
      </c>
      <c r="AD123" t="s">
        <v>74</v>
      </c>
      <c r="AE123" t="s">
        <v>74</v>
      </c>
      <c r="AF123" t="s">
        <v>74</v>
      </c>
      <c r="AG123">
        <v>13</v>
      </c>
      <c r="AH123">
        <v>9</v>
      </c>
      <c r="AI123">
        <v>10</v>
      </c>
      <c r="AJ123">
        <v>0</v>
      </c>
      <c r="AK123">
        <v>4</v>
      </c>
      <c r="AL123" t="s">
        <v>914</v>
      </c>
      <c r="AM123" t="s">
        <v>244</v>
      </c>
      <c r="AN123" t="s">
        <v>1400</v>
      </c>
      <c r="AO123" t="s">
        <v>899</v>
      </c>
      <c r="AP123" t="s">
        <v>916</v>
      </c>
      <c r="AQ123" t="s">
        <v>74</v>
      </c>
      <c r="AR123" t="s">
        <v>900</v>
      </c>
      <c r="AS123" t="s">
        <v>901</v>
      </c>
      <c r="AT123" t="s">
        <v>1222</v>
      </c>
      <c r="AU123">
        <v>1998</v>
      </c>
      <c r="AV123">
        <v>19</v>
      </c>
      <c r="AW123">
        <v>2</v>
      </c>
      <c r="AX123" t="s">
        <v>74</v>
      </c>
      <c r="AY123" t="s">
        <v>74</v>
      </c>
      <c r="AZ123" t="s">
        <v>74</v>
      </c>
      <c r="BA123" t="s">
        <v>74</v>
      </c>
      <c r="BB123">
        <v>148</v>
      </c>
      <c r="BC123">
        <v>150</v>
      </c>
      <c r="BD123" t="s">
        <v>74</v>
      </c>
      <c r="BE123" t="s">
        <v>1913</v>
      </c>
      <c r="BF123" t="str">
        <f>HYPERLINK("http://dx.doi.org/10.1007/s003000050227","http://dx.doi.org/10.1007/s003000050227")</f>
        <v>http://dx.doi.org/10.1007/s003000050227</v>
      </c>
      <c r="BG123" t="s">
        <v>74</v>
      </c>
      <c r="BH123" t="s">
        <v>74</v>
      </c>
      <c r="BI123">
        <v>3</v>
      </c>
      <c r="BJ123" t="s">
        <v>903</v>
      </c>
      <c r="BK123" t="s">
        <v>98</v>
      </c>
      <c r="BL123" t="s">
        <v>904</v>
      </c>
      <c r="BM123" t="s">
        <v>1856</v>
      </c>
      <c r="BN123" t="s">
        <v>74</v>
      </c>
      <c r="BO123" t="s">
        <v>1914</v>
      </c>
      <c r="BP123" t="s">
        <v>74</v>
      </c>
      <c r="BQ123" t="s">
        <v>74</v>
      </c>
      <c r="BR123" t="s">
        <v>101</v>
      </c>
      <c r="BS123" t="s">
        <v>1915</v>
      </c>
      <c r="BT123" t="str">
        <f>HYPERLINK("https%3A%2F%2Fwww.webofscience.com%2Fwos%2Fwoscc%2Ffull-record%2FWOS:000071833500011","View Full Record in Web of Science")</f>
        <v>View Full Record in Web of Science</v>
      </c>
    </row>
    <row r="124" spans="1:72" x14ac:dyDescent="0.15">
      <c r="A124" t="s">
        <v>72</v>
      </c>
      <c r="B124" t="s">
        <v>1916</v>
      </c>
      <c r="C124" t="s">
        <v>74</v>
      </c>
      <c r="D124" t="s">
        <v>74</v>
      </c>
      <c r="E124" t="s">
        <v>74</v>
      </c>
      <c r="F124" t="s">
        <v>1916</v>
      </c>
      <c r="G124" t="s">
        <v>74</v>
      </c>
      <c r="H124" t="s">
        <v>74</v>
      </c>
      <c r="I124" t="s">
        <v>1917</v>
      </c>
      <c r="J124" t="s">
        <v>1918</v>
      </c>
      <c r="K124" t="s">
        <v>74</v>
      </c>
      <c r="L124" t="s">
        <v>74</v>
      </c>
      <c r="M124" t="s">
        <v>77</v>
      </c>
      <c r="N124" t="s">
        <v>78</v>
      </c>
      <c r="O124" t="s">
        <v>74</v>
      </c>
      <c r="P124" t="s">
        <v>74</v>
      </c>
      <c r="Q124" t="s">
        <v>74</v>
      </c>
      <c r="R124" t="s">
        <v>74</v>
      </c>
      <c r="S124" t="s">
        <v>74</v>
      </c>
      <c r="T124" t="s">
        <v>74</v>
      </c>
      <c r="U124" t="s">
        <v>74</v>
      </c>
      <c r="V124" t="s">
        <v>1919</v>
      </c>
      <c r="W124" t="s">
        <v>372</v>
      </c>
      <c r="X124" t="s">
        <v>322</v>
      </c>
      <c r="Y124" t="s">
        <v>1920</v>
      </c>
      <c r="Z124" t="s">
        <v>74</v>
      </c>
      <c r="AA124" t="s">
        <v>1921</v>
      </c>
      <c r="AB124" t="s">
        <v>1922</v>
      </c>
      <c r="AC124" t="s">
        <v>74</v>
      </c>
      <c r="AD124" t="s">
        <v>74</v>
      </c>
      <c r="AE124" t="s">
        <v>74</v>
      </c>
      <c r="AF124" t="s">
        <v>74</v>
      </c>
      <c r="AG124">
        <v>13</v>
      </c>
      <c r="AH124">
        <v>17</v>
      </c>
      <c r="AI124">
        <v>19</v>
      </c>
      <c r="AJ124">
        <v>0</v>
      </c>
      <c r="AK124">
        <v>4</v>
      </c>
      <c r="AL124" t="s">
        <v>1923</v>
      </c>
      <c r="AM124" t="s">
        <v>390</v>
      </c>
      <c r="AN124" t="s">
        <v>1924</v>
      </c>
      <c r="AO124" t="s">
        <v>1925</v>
      </c>
      <c r="AP124" t="s">
        <v>74</v>
      </c>
      <c r="AQ124" t="s">
        <v>74</v>
      </c>
      <c r="AR124" t="s">
        <v>1918</v>
      </c>
      <c r="AS124" t="s">
        <v>1926</v>
      </c>
      <c r="AT124" t="s">
        <v>1222</v>
      </c>
      <c r="AU124">
        <v>1998</v>
      </c>
      <c r="AV124">
        <v>47</v>
      </c>
      <c r="AW124">
        <v>1</v>
      </c>
      <c r="AX124" t="s">
        <v>74</v>
      </c>
      <c r="AY124" t="s">
        <v>74</v>
      </c>
      <c r="AZ124" t="s">
        <v>74</v>
      </c>
      <c r="BA124" t="s">
        <v>74</v>
      </c>
      <c r="BB124">
        <v>85</v>
      </c>
      <c r="BC124">
        <v>93</v>
      </c>
      <c r="BD124" t="s">
        <v>74</v>
      </c>
      <c r="BE124" t="s">
        <v>1927</v>
      </c>
      <c r="BF124" t="str">
        <f>HYPERLINK("http://dx.doi.org/10.2307/1224022","http://dx.doi.org/10.2307/1224022")</f>
        <v>http://dx.doi.org/10.2307/1224022</v>
      </c>
      <c r="BG124" t="s">
        <v>74</v>
      </c>
      <c r="BH124" t="s">
        <v>74</v>
      </c>
      <c r="BI124">
        <v>9</v>
      </c>
      <c r="BJ124" t="s">
        <v>1928</v>
      </c>
      <c r="BK124" t="s">
        <v>98</v>
      </c>
      <c r="BL124" t="s">
        <v>1928</v>
      </c>
      <c r="BM124" t="s">
        <v>1929</v>
      </c>
      <c r="BN124" t="s">
        <v>74</v>
      </c>
      <c r="BO124" t="s">
        <v>123</v>
      </c>
      <c r="BP124" t="s">
        <v>74</v>
      </c>
      <c r="BQ124" t="s">
        <v>74</v>
      </c>
      <c r="BR124" t="s">
        <v>101</v>
      </c>
      <c r="BS124" t="s">
        <v>1930</v>
      </c>
      <c r="BT124" t="str">
        <f>HYPERLINK("https%3A%2F%2Fwww.webofscience.com%2Fwos%2Fwoscc%2Ffull-record%2FWOS:000072326500008","View Full Record in Web of Science")</f>
        <v>View Full Record in Web of Science</v>
      </c>
    </row>
    <row r="125" spans="1:72" x14ac:dyDescent="0.15">
      <c r="A125" t="s">
        <v>72</v>
      </c>
      <c r="B125" t="s">
        <v>1931</v>
      </c>
      <c r="C125" t="s">
        <v>74</v>
      </c>
      <c r="D125" t="s">
        <v>74</v>
      </c>
      <c r="E125" t="s">
        <v>74</v>
      </c>
      <c r="F125" t="s">
        <v>1931</v>
      </c>
      <c r="G125" t="s">
        <v>74</v>
      </c>
      <c r="H125" t="s">
        <v>74</v>
      </c>
      <c r="I125" t="s">
        <v>1932</v>
      </c>
      <c r="J125" t="s">
        <v>1933</v>
      </c>
      <c r="K125" t="s">
        <v>74</v>
      </c>
      <c r="L125" t="s">
        <v>74</v>
      </c>
      <c r="M125" t="s">
        <v>77</v>
      </c>
      <c r="N125" t="s">
        <v>78</v>
      </c>
      <c r="O125" t="s">
        <v>74</v>
      </c>
      <c r="P125" t="s">
        <v>74</v>
      </c>
      <c r="Q125" t="s">
        <v>74</v>
      </c>
      <c r="R125" t="s">
        <v>74</v>
      </c>
      <c r="S125" t="s">
        <v>74</v>
      </c>
      <c r="T125" t="s">
        <v>74</v>
      </c>
      <c r="U125" t="s">
        <v>1934</v>
      </c>
      <c r="V125" t="s">
        <v>1935</v>
      </c>
      <c r="W125" t="s">
        <v>1936</v>
      </c>
      <c r="X125" t="s">
        <v>1937</v>
      </c>
      <c r="Y125" t="s">
        <v>1938</v>
      </c>
      <c r="Z125" t="s">
        <v>74</v>
      </c>
      <c r="AA125" t="s">
        <v>74</v>
      </c>
      <c r="AB125" t="s">
        <v>74</v>
      </c>
      <c r="AC125" t="s">
        <v>74</v>
      </c>
      <c r="AD125" t="s">
        <v>74</v>
      </c>
      <c r="AE125" t="s">
        <v>74</v>
      </c>
      <c r="AF125" t="s">
        <v>74</v>
      </c>
      <c r="AG125">
        <v>29</v>
      </c>
      <c r="AH125">
        <v>66</v>
      </c>
      <c r="AI125">
        <v>74</v>
      </c>
      <c r="AJ125">
        <v>0</v>
      </c>
      <c r="AK125">
        <v>10</v>
      </c>
      <c r="AL125" t="s">
        <v>1939</v>
      </c>
      <c r="AM125" t="s">
        <v>1940</v>
      </c>
      <c r="AN125" t="s">
        <v>1941</v>
      </c>
      <c r="AO125" t="s">
        <v>1942</v>
      </c>
      <c r="AP125" t="s">
        <v>74</v>
      </c>
      <c r="AQ125" t="s">
        <v>74</v>
      </c>
      <c r="AR125" t="s">
        <v>1943</v>
      </c>
      <c r="AS125" t="s">
        <v>1944</v>
      </c>
      <c r="AT125" t="s">
        <v>1222</v>
      </c>
      <c r="AU125">
        <v>1998</v>
      </c>
      <c r="AV125">
        <v>50</v>
      </c>
      <c r="AW125">
        <v>1</v>
      </c>
      <c r="AX125" t="s">
        <v>74</v>
      </c>
      <c r="AY125" t="s">
        <v>74</v>
      </c>
      <c r="AZ125" t="s">
        <v>74</v>
      </c>
      <c r="BA125" t="s">
        <v>74</v>
      </c>
      <c r="BB125">
        <v>34</v>
      </c>
      <c r="BC125">
        <v>50</v>
      </c>
      <c r="BD125" t="s">
        <v>74</v>
      </c>
      <c r="BE125" t="s">
        <v>1945</v>
      </c>
      <c r="BF125" t="str">
        <f>HYPERLINK("http://dx.doi.org/10.1034/j.1600-0889.1998.00003.x","http://dx.doi.org/10.1034/j.1600-0889.1998.00003.x")</f>
        <v>http://dx.doi.org/10.1034/j.1600-0889.1998.00003.x</v>
      </c>
      <c r="BG125" t="s">
        <v>74</v>
      </c>
      <c r="BH125" t="s">
        <v>74</v>
      </c>
      <c r="BI125">
        <v>17</v>
      </c>
      <c r="BJ125" t="s">
        <v>635</v>
      </c>
      <c r="BK125" t="s">
        <v>98</v>
      </c>
      <c r="BL125" t="s">
        <v>635</v>
      </c>
      <c r="BM125" t="s">
        <v>1946</v>
      </c>
      <c r="BN125" t="s">
        <v>74</v>
      </c>
      <c r="BO125" t="s">
        <v>74</v>
      </c>
      <c r="BP125" t="s">
        <v>74</v>
      </c>
      <c r="BQ125" t="s">
        <v>74</v>
      </c>
      <c r="BR125" t="s">
        <v>101</v>
      </c>
      <c r="BS125" t="s">
        <v>1947</v>
      </c>
      <c r="BT125" t="str">
        <f>HYPERLINK("https%3A%2F%2Fwww.webofscience.com%2Fwos%2Fwoscc%2Ffull-record%2FWOS:000072142500003","View Full Record in Web of Science")</f>
        <v>View Full Record in Web of Science</v>
      </c>
    </row>
    <row r="126" spans="1:72" x14ac:dyDescent="0.15">
      <c r="A126" t="s">
        <v>72</v>
      </c>
      <c r="B126" t="s">
        <v>1948</v>
      </c>
      <c r="C126" t="s">
        <v>74</v>
      </c>
      <c r="D126" t="s">
        <v>74</v>
      </c>
      <c r="E126" t="s">
        <v>74</v>
      </c>
      <c r="F126" t="s">
        <v>1948</v>
      </c>
      <c r="G126" t="s">
        <v>74</v>
      </c>
      <c r="H126" t="s">
        <v>74</v>
      </c>
      <c r="I126" t="s">
        <v>1949</v>
      </c>
      <c r="J126" t="s">
        <v>1950</v>
      </c>
      <c r="K126" t="s">
        <v>74</v>
      </c>
      <c r="L126" t="s">
        <v>74</v>
      </c>
      <c r="M126" t="s">
        <v>77</v>
      </c>
      <c r="N126" t="s">
        <v>78</v>
      </c>
      <c r="O126" t="s">
        <v>74</v>
      </c>
      <c r="P126" t="s">
        <v>74</v>
      </c>
      <c r="Q126" t="s">
        <v>74</v>
      </c>
      <c r="R126" t="s">
        <v>74</v>
      </c>
      <c r="S126" t="s">
        <v>74</v>
      </c>
      <c r="T126" t="s">
        <v>1951</v>
      </c>
      <c r="U126" t="s">
        <v>74</v>
      </c>
      <c r="V126" t="s">
        <v>1952</v>
      </c>
      <c r="W126" t="s">
        <v>1953</v>
      </c>
      <c r="X126" t="s">
        <v>1954</v>
      </c>
      <c r="Y126" t="s">
        <v>1955</v>
      </c>
      <c r="Z126" t="s">
        <v>74</v>
      </c>
      <c r="AA126" t="s">
        <v>74</v>
      </c>
      <c r="AB126" t="s">
        <v>74</v>
      </c>
      <c r="AC126" t="s">
        <v>74</v>
      </c>
      <c r="AD126" t="s">
        <v>74</v>
      </c>
      <c r="AE126" t="s">
        <v>74</v>
      </c>
      <c r="AF126" t="s">
        <v>74</v>
      </c>
      <c r="AG126">
        <v>4</v>
      </c>
      <c r="AH126">
        <v>3</v>
      </c>
      <c r="AI126">
        <v>3</v>
      </c>
      <c r="AJ126">
        <v>0</v>
      </c>
      <c r="AK126">
        <v>4</v>
      </c>
      <c r="AL126" t="s">
        <v>1956</v>
      </c>
      <c r="AM126" t="s">
        <v>1957</v>
      </c>
      <c r="AN126" t="s">
        <v>1958</v>
      </c>
      <c r="AO126" t="s">
        <v>1959</v>
      </c>
      <c r="AP126" t="s">
        <v>74</v>
      </c>
      <c r="AQ126" t="s">
        <v>74</v>
      </c>
      <c r="AR126" t="s">
        <v>1960</v>
      </c>
      <c r="AS126" t="s">
        <v>1961</v>
      </c>
      <c r="AT126" t="s">
        <v>1222</v>
      </c>
      <c r="AU126">
        <v>1998</v>
      </c>
      <c r="AV126">
        <v>236</v>
      </c>
      <c r="AW126" t="s">
        <v>1508</v>
      </c>
      <c r="AX126" t="s">
        <v>74</v>
      </c>
      <c r="AY126" t="s">
        <v>74</v>
      </c>
      <c r="AZ126" t="s">
        <v>74</v>
      </c>
      <c r="BA126" t="s">
        <v>74</v>
      </c>
      <c r="BB126">
        <v>133</v>
      </c>
      <c r="BC126">
        <v>137</v>
      </c>
      <c r="BD126" t="s">
        <v>74</v>
      </c>
      <c r="BE126" t="s">
        <v>74</v>
      </c>
      <c r="BF126" t="s">
        <v>74</v>
      </c>
      <c r="BG126" t="s">
        <v>74</v>
      </c>
      <c r="BH126" t="s">
        <v>74</v>
      </c>
      <c r="BI126">
        <v>5</v>
      </c>
      <c r="BJ126" t="s">
        <v>417</v>
      </c>
      <c r="BK126" t="s">
        <v>98</v>
      </c>
      <c r="BL126" t="s">
        <v>417</v>
      </c>
      <c r="BM126" t="s">
        <v>1962</v>
      </c>
      <c r="BN126" t="s">
        <v>74</v>
      </c>
      <c r="BO126" t="s">
        <v>74</v>
      </c>
      <c r="BP126" t="s">
        <v>74</v>
      </c>
      <c r="BQ126" t="s">
        <v>74</v>
      </c>
      <c r="BR126" t="s">
        <v>101</v>
      </c>
      <c r="BS126" t="s">
        <v>1963</v>
      </c>
      <c r="BT126" t="str">
        <f>HYPERLINK("https%3A%2F%2Fwww.webofscience.com%2Fwos%2Fwoscc%2Ffull-record%2FWOS:000072515400005","View Full Record in Web of Science")</f>
        <v>View Full Record in Web of Science</v>
      </c>
    </row>
    <row r="127" spans="1:72" x14ac:dyDescent="0.15">
      <c r="A127" t="s">
        <v>72</v>
      </c>
      <c r="B127" t="s">
        <v>1964</v>
      </c>
      <c r="C127" t="s">
        <v>74</v>
      </c>
      <c r="D127" t="s">
        <v>74</v>
      </c>
      <c r="E127" t="s">
        <v>74</v>
      </c>
      <c r="F127" t="s">
        <v>1964</v>
      </c>
      <c r="G127" t="s">
        <v>74</v>
      </c>
      <c r="H127" t="s">
        <v>74</v>
      </c>
      <c r="I127" t="s">
        <v>1965</v>
      </c>
      <c r="J127" t="s">
        <v>170</v>
      </c>
      <c r="K127" t="s">
        <v>74</v>
      </c>
      <c r="L127" t="s">
        <v>74</v>
      </c>
      <c r="M127" t="s">
        <v>77</v>
      </c>
      <c r="N127" t="s">
        <v>78</v>
      </c>
      <c r="O127" t="s">
        <v>74</v>
      </c>
      <c r="P127" t="s">
        <v>74</v>
      </c>
      <c r="Q127" t="s">
        <v>74</v>
      </c>
      <c r="R127" t="s">
        <v>74</v>
      </c>
      <c r="S127" t="s">
        <v>74</v>
      </c>
      <c r="T127" t="s">
        <v>74</v>
      </c>
      <c r="U127" t="s">
        <v>1966</v>
      </c>
      <c r="V127" t="s">
        <v>1967</v>
      </c>
      <c r="W127" t="s">
        <v>1968</v>
      </c>
      <c r="X127" t="s">
        <v>1969</v>
      </c>
      <c r="Y127" t="s">
        <v>1970</v>
      </c>
      <c r="Z127" t="s">
        <v>74</v>
      </c>
      <c r="AA127" t="s">
        <v>74</v>
      </c>
      <c r="AB127" t="s">
        <v>74</v>
      </c>
      <c r="AC127" t="s">
        <v>74</v>
      </c>
      <c r="AD127" t="s">
        <v>74</v>
      </c>
      <c r="AE127" t="s">
        <v>74</v>
      </c>
      <c r="AF127" t="s">
        <v>74</v>
      </c>
      <c r="AG127">
        <v>16</v>
      </c>
      <c r="AH127">
        <v>104</v>
      </c>
      <c r="AI127">
        <v>114</v>
      </c>
      <c r="AJ127">
        <v>0</v>
      </c>
      <c r="AK127">
        <v>18</v>
      </c>
      <c r="AL127" t="s">
        <v>179</v>
      </c>
      <c r="AM127" t="s">
        <v>88</v>
      </c>
      <c r="AN127" t="s">
        <v>180</v>
      </c>
      <c r="AO127" t="s">
        <v>181</v>
      </c>
      <c r="AP127" t="s">
        <v>182</v>
      </c>
      <c r="AQ127" t="s">
        <v>74</v>
      </c>
      <c r="AR127" t="s">
        <v>170</v>
      </c>
      <c r="AS127" t="s">
        <v>183</v>
      </c>
      <c r="AT127" t="s">
        <v>1971</v>
      </c>
      <c r="AU127">
        <v>1998</v>
      </c>
      <c r="AV127">
        <v>279</v>
      </c>
      <c r="AW127">
        <v>5351</v>
      </c>
      <c r="AX127" t="s">
        <v>74</v>
      </c>
      <c r="AY127" t="s">
        <v>74</v>
      </c>
      <c r="AZ127" t="s">
        <v>74</v>
      </c>
      <c r="BA127" t="s">
        <v>74</v>
      </c>
      <c r="BB127">
        <v>689</v>
      </c>
      <c r="BC127">
        <v>692</v>
      </c>
      <c r="BD127" t="s">
        <v>74</v>
      </c>
      <c r="BE127" t="s">
        <v>1972</v>
      </c>
      <c r="BF127" t="str">
        <f>HYPERLINK("http://dx.doi.org/10.1126/science.279.5351.689","http://dx.doi.org/10.1126/science.279.5351.689")</f>
        <v>http://dx.doi.org/10.1126/science.279.5351.689</v>
      </c>
      <c r="BG127" t="s">
        <v>74</v>
      </c>
      <c r="BH127" t="s">
        <v>74</v>
      </c>
      <c r="BI127">
        <v>4</v>
      </c>
      <c r="BJ127" t="s">
        <v>186</v>
      </c>
      <c r="BK127" t="s">
        <v>98</v>
      </c>
      <c r="BL127" t="s">
        <v>187</v>
      </c>
      <c r="BM127" t="s">
        <v>1973</v>
      </c>
      <c r="BN127">
        <v>9445471</v>
      </c>
      <c r="BO127" t="s">
        <v>74</v>
      </c>
      <c r="BP127" t="s">
        <v>74</v>
      </c>
      <c r="BQ127" t="s">
        <v>74</v>
      </c>
      <c r="BR127" t="s">
        <v>101</v>
      </c>
      <c r="BS127" t="s">
        <v>1974</v>
      </c>
      <c r="BT127" t="str">
        <f>HYPERLINK("https%3A%2F%2Fwww.webofscience.com%2Fwos%2Fwoscc%2Ffull-record%2FWOS:000071731500032","View Full Record in Web of Science")</f>
        <v>View Full Record in Web of Science</v>
      </c>
    </row>
    <row r="128" spans="1:72" x14ac:dyDescent="0.15">
      <c r="A128" t="s">
        <v>72</v>
      </c>
      <c r="B128" t="s">
        <v>1975</v>
      </c>
      <c r="C128" t="s">
        <v>74</v>
      </c>
      <c r="D128" t="s">
        <v>74</v>
      </c>
      <c r="E128" t="s">
        <v>74</v>
      </c>
      <c r="F128" t="s">
        <v>1975</v>
      </c>
      <c r="G128" t="s">
        <v>74</v>
      </c>
      <c r="H128" t="s">
        <v>74</v>
      </c>
      <c r="I128" t="s">
        <v>1976</v>
      </c>
      <c r="J128" t="s">
        <v>1977</v>
      </c>
      <c r="K128" t="s">
        <v>74</v>
      </c>
      <c r="L128" t="s">
        <v>74</v>
      </c>
      <c r="M128" t="s">
        <v>77</v>
      </c>
      <c r="N128" t="s">
        <v>78</v>
      </c>
      <c r="O128" t="s">
        <v>74</v>
      </c>
      <c r="P128" t="s">
        <v>74</v>
      </c>
      <c r="Q128" t="s">
        <v>74</v>
      </c>
      <c r="R128" t="s">
        <v>74</v>
      </c>
      <c r="S128" t="s">
        <v>74</v>
      </c>
      <c r="T128" t="s">
        <v>1978</v>
      </c>
      <c r="U128" t="s">
        <v>1979</v>
      </c>
      <c r="V128" t="s">
        <v>1980</v>
      </c>
      <c r="W128" t="s">
        <v>1981</v>
      </c>
      <c r="X128" t="s">
        <v>1982</v>
      </c>
      <c r="Y128" t="s">
        <v>1983</v>
      </c>
      <c r="Z128" t="s">
        <v>1984</v>
      </c>
      <c r="AA128" t="s">
        <v>1985</v>
      </c>
      <c r="AB128" t="s">
        <v>1986</v>
      </c>
      <c r="AC128" t="s">
        <v>74</v>
      </c>
      <c r="AD128" t="s">
        <v>74</v>
      </c>
      <c r="AE128" t="s">
        <v>74</v>
      </c>
      <c r="AF128" t="s">
        <v>74</v>
      </c>
      <c r="AG128">
        <v>54</v>
      </c>
      <c r="AH128">
        <v>63</v>
      </c>
      <c r="AI128">
        <v>73</v>
      </c>
      <c r="AJ128">
        <v>0</v>
      </c>
      <c r="AK128">
        <v>7</v>
      </c>
      <c r="AL128" t="s">
        <v>1029</v>
      </c>
      <c r="AM128" t="s">
        <v>1030</v>
      </c>
      <c r="AN128" t="s">
        <v>1031</v>
      </c>
      <c r="AO128" t="s">
        <v>1987</v>
      </c>
      <c r="AP128" t="s">
        <v>74</v>
      </c>
      <c r="AQ128" t="s">
        <v>74</v>
      </c>
      <c r="AR128" t="s">
        <v>1977</v>
      </c>
      <c r="AS128" t="s">
        <v>1988</v>
      </c>
      <c r="AT128" t="s">
        <v>1971</v>
      </c>
      <c r="AU128">
        <v>1998</v>
      </c>
      <c r="AV128">
        <v>284</v>
      </c>
      <c r="AW128" t="s">
        <v>694</v>
      </c>
      <c r="AX128" t="s">
        <v>74</v>
      </c>
      <c r="AY128" t="s">
        <v>74</v>
      </c>
      <c r="AZ128" t="s">
        <v>74</v>
      </c>
      <c r="BA128" t="s">
        <v>74</v>
      </c>
      <c r="BB128">
        <v>261</v>
      </c>
      <c r="BC128">
        <v>281</v>
      </c>
      <c r="BD128" t="s">
        <v>74</v>
      </c>
      <c r="BE128" t="s">
        <v>1989</v>
      </c>
      <c r="BF128" t="str">
        <f>HYPERLINK("http://dx.doi.org/10.1016/S0040-1951(97)00178-9","http://dx.doi.org/10.1016/S0040-1951(97)00178-9")</f>
        <v>http://dx.doi.org/10.1016/S0040-1951(97)00178-9</v>
      </c>
      <c r="BG128" t="s">
        <v>74</v>
      </c>
      <c r="BH128" t="s">
        <v>74</v>
      </c>
      <c r="BI128">
        <v>21</v>
      </c>
      <c r="BJ128" t="s">
        <v>143</v>
      </c>
      <c r="BK128" t="s">
        <v>98</v>
      </c>
      <c r="BL128" t="s">
        <v>143</v>
      </c>
      <c r="BM128" t="s">
        <v>1990</v>
      </c>
      <c r="BN128" t="s">
        <v>74</v>
      </c>
      <c r="BO128" t="s">
        <v>74</v>
      </c>
      <c r="BP128" t="s">
        <v>74</v>
      </c>
      <c r="BQ128" t="s">
        <v>74</v>
      </c>
      <c r="BR128" t="s">
        <v>101</v>
      </c>
      <c r="BS128" t="s">
        <v>1991</v>
      </c>
      <c r="BT128" t="str">
        <f>HYPERLINK("https%3A%2F%2Fwww.webofscience.com%2Fwos%2Fwoscc%2Ffull-record%2FWOS:000072273300006","View Full Record in Web of Science")</f>
        <v>View Full Record in Web of Science</v>
      </c>
    </row>
    <row r="129" spans="1:72" x14ac:dyDescent="0.15">
      <c r="A129" t="s">
        <v>72</v>
      </c>
      <c r="B129" t="s">
        <v>1992</v>
      </c>
      <c r="C129" t="s">
        <v>74</v>
      </c>
      <c r="D129" t="s">
        <v>74</v>
      </c>
      <c r="E129" t="s">
        <v>74</v>
      </c>
      <c r="F129" t="s">
        <v>1992</v>
      </c>
      <c r="G129" t="s">
        <v>74</v>
      </c>
      <c r="H129" t="s">
        <v>74</v>
      </c>
      <c r="I129" t="s">
        <v>1993</v>
      </c>
      <c r="J129" t="s">
        <v>1994</v>
      </c>
      <c r="K129" t="s">
        <v>74</v>
      </c>
      <c r="L129" t="s">
        <v>74</v>
      </c>
      <c r="M129" t="s">
        <v>77</v>
      </c>
      <c r="N129" t="s">
        <v>78</v>
      </c>
      <c r="O129" t="s">
        <v>74</v>
      </c>
      <c r="P129" t="s">
        <v>74</v>
      </c>
      <c r="Q129" t="s">
        <v>74</v>
      </c>
      <c r="R129" t="s">
        <v>74</v>
      </c>
      <c r="S129" t="s">
        <v>74</v>
      </c>
      <c r="T129" t="s">
        <v>74</v>
      </c>
      <c r="U129" t="s">
        <v>1995</v>
      </c>
      <c r="V129" t="s">
        <v>1996</v>
      </c>
      <c r="W129" t="s">
        <v>1997</v>
      </c>
      <c r="X129" t="s">
        <v>1998</v>
      </c>
      <c r="Y129" t="s">
        <v>1999</v>
      </c>
      <c r="Z129" t="s">
        <v>74</v>
      </c>
      <c r="AA129" t="s">
        <v>1630</v>
      </c>
      <c r="AB129" t="s">
        <v>1631</v>
      </c>
      <c r="AC129" t="s">
        <v>74</v>
      </c>
      <c r="AD129" t="s">
        <v>74</v>
      </c>
      <c r="AE129" t="s">
        <v>74</v>
      </c>
      <c r="AF129" t="s">
        <v>74</v>
      </c>
      <c r="AG129">
        <v>28</v>
      </c>
      <c r="AH129">
        <v>18</v>
      </c>
      <c r="AI129">
        <v>21</v>
      </c>
      <c r="AJ129">
        <v>0</v>
      </c>
      <c r="AK129">
        <v>9</v>
      </c>
      <c r="AL129" t="s">
        <v>707</v>
      </c>
      <c r="AM129" t="s">
        <v>88</v>
      </c>
      <c r="AN129" t="s">
        <v>708</v>
      </c>
      <c r="AO129" t="s">
        <v>2000</v>
      </c>
      <c r="AP129" t="s">
        <v>74</v>
      </c>
      <c r="AQ129" t="s">
        <v>74</v>
      </c>
      <c r="AR129" t="s">
        <v>2001</v>
      </c>
      <c r="AS129" t="s">
        <v>2002</v>
      </c>
      <c r="AT129" t="s">
        <v>2003</v>
      </c>
      <c r="AU129">
        <v>1998</v>
      </c>
      <c r="AV129">
        <v>102</v>
      </c>
      <c r="AW129">
        <v>5</v>
      </c>
      <c r="AX129" t="s">
        <v>74</v>
      </c>
      <c r="AY129" t="s">
        <v>74</v>
      </c>
      <c r="AZ129" t="s">
        <v>74</v>
      </c>
      <c r="BA129" t="s">
        <v>74</v>
      </c>
      <c r="BB129">
        <v>788</v>
      </c>
      <c r="BC129">
        <v>794</v>
      </c>
      <c r="BD129" t="s">
        <v>74</v>
      </c>
      <c r="BE129" t="s">
        <v>2004</v>
      </c>
      <c r="BF129" t="str">
        <f>HYPERLINK("http://dx.doi.org/10.1021/jp972016q","http://dx.doi.org/10.1021/jp972016q")</f>
        <v>http://dx.doi.org/10.1021/jp972016q</v>
      </c>
      <c r="BG129" t="s">
        <v>74</v>
      </c>
      <c r="BH129" t="s">
        <v>74</v>
      </c>
      <c r="BI129">
        <v>7</v>
      </c>
      <c r="BJ129" t="s">
        <v>396</v>
      </c>
      <c r="BK129" t="s">
        <v>98</v>
      </c>
      <c r="BL129" t="s">
        <v>398</v>
      </c>
      <c r="BM129" t="s">
        <v>2005</v>
      </c>
      <c r="BN129" t="s">
        <v>74</v>
      </c>
      <c r="BO129" t="s">
        <v>74</v>
      </c>
      <c r="BP129" t="s">
        <v>74</v>
      </c>
      <c r="BQ129" t="s">
        <v>74</v>
      </c>
      <c r="BR129" t="s">
        <v>101</v>
      </c>
      <c r="BS129" t="s">
        <v>2006</v>
      </c>
      <c r="BT129" t="str">
        <f>HYPERLINK("https%3A%2F%2Fwww.webofscience.com%2Fwos%2Fwoscc%2Ffull-record%2FWOS:000071825400006","View Full Record in Web of Science")</f>
        <v>View Full Record in Web of Science</v>
      </c>
    </row>
    <row r="130" spans="1:72" x14ac:dyDescent="0.15">
      <c r="A130" t="s">
        <v>72</v>
      </c>
      <c r="B130" t="s">
        <v>2007</v>
      </c>
      <c r="C130" t="s">
        <v>74</v>
      </c>
      <c r="D130" t="s">
        <v>74</v>
      </c>
      <c r="E130" t="s">
        <v>74</v>
      </c>
      <c r="F130" t="s">
        <v>2007</v>
      </c>
      <c r="G130" t="s">
        <v>74</v>
      </c>
      <c r="H130" t="s">
        <v>74</v>
      </c>
      <c r="I130" t="s">
        <v>2008</v>
      </c>
      <c r="J130" t="s">
        <v>2009</v>
      </c>
      <c r="K130" t="s">
        <v>74</v>
      </c>
      <c r="L130" t="s">
        <v>74</v>
      </c>
      <c r="M130" t="s">
        <v>77</v>
      </c>
      <c r="N130" t="s">
        <v>78</v>
      </c>
      <c r="O130" t="s">
        <v>74</v>
      </c>
      <c r="P130" t="s">
        <v>74</v>
      </c>
      <c r="Q130" t="s">
        <v>74</v>
      </c>
      <c r="R130" t="s">
        <v>74</v>
      </c>
      <c r="S130" t="s">
        <v>74</v>
      </c>
      <c r="T130" t="s">
        <v>74</v>
      </c>
      <c r="U130" t="s">
        <v>2010</v>
      </c>
      <c r="V130" t="s">
        <v>2011</v>
      </c>
      <c r="W130" t="s">
        <v>2012</v>
      </c>
      <c r="X130" t="s">
        <v>2013</v>
      </c>
      <c r="Y130" t="s">
        <v>2014</v>
      </c>
      <c r="Z130" t="s">
        <v>2015</v>
      </c>
      <c r="AA130" t="s">
        <v>74</v>
      </c>
      <c r="AB130" t="s">
        <v>74</v>
      </c>
      <c r="AC130" t="s">
        <v>74</v>
      </c>
      <c r="AD130" t="s">
        <v>74</v>
      </c>
      <c r="AE130" t="s">
        <v>74</v>
      </c>
      <c r="AF130" t="s">
        <v>74</v>
      </c>
      <c r="AG130">
        <v>33</v>
      </c>
      <c r="AH130">
        <v>63</v>
      </c>
      <c r="AI130">
        <v>65</v>
      </c>
      <c r="AJ130">
        <v>0</v>
      </c>
      <c r="AK130">
        <v>27</v>
      </c>
      <c r="AL130" t="s">
        <v>1488</v>
      </c>
      <c r="AM130" t="s">
        <v>201</v>
      </c>
      <c r="AN130" t="s">
        <v>1470</v>
      </c>
      <c r="AO130" t="s">
        <v>2016</v>
      </c>
      <c r="AP130" t="s">
        <v>2017</v>
      </c>
      <c r="AQ130" t="s">
        <v>74</v>
      </c>
      <c r="AR130" t="s">
        <v>2018</v>
      </c>
      <c r="AS130" t="s">
        <v>2019</v>
      </c>
      <c r="AT130" t="s">
        <v>2020</v>
      </c>
      <c r="AU130">
        <v>1998</v>
      </c>
      <c r="AV130">
        <v>190</v>
      </c>
      <c r="AW130">
        <v>2</v>
      </c>
      <c r="AX130" t="s">
        <v>74</v>
      </c>
      <c r="AY130" t="s">
        <v>74</v>
      </c>
      <c r="AZ130" t="s">
        <v>74</v>
      </c>
      <c r="BA130" t="s">
        <v>74</v>
      </c>
      <c r="BB130">
        <v>187</v>
      </c>
      <c r="BC130">
        <v>199</v>
      </c>
      <c r="BD130" t="s">
        <v>74</v>
      </c>
      <c r="BE130" t="s">
        <v>2021</v>
      </c>
      <c r="BF130" t="str">
        <f>HYPERLINK("http://dx.doi.org/10.1006/jtbi.1997.0550","http://dx.doi.org/10.1006/jtbi.1997.0550")</f>
        <v>http://dx.doi.org/10.1006/jtbi.1997.0550</v>
      </c>
      <c r="BG130" t="s">
        <v>74</v>
      </c>
      <c r="BH130" t="s">
        <v>74</v>
      </c>
      <c r="BI130">
        <v>13</v>
      </c>
      <c r="BJ130" t="s">
        <v>2022</v>
      </c>
      <c r="BK130" t="s">
        <v>98</v>
      </c>
      <c r="BL130" t="s">
        <v>2023</v>
      </c>
      <c r="BM130" t="s">
        <v>2024</v>
      </c>
      <c r="BN130" t="s">
        <v>74</v>
      </c>
      <c r="BO130" t="s">
        <v>74</v>
      </c>
      <c r="BP130" t="s">
        <v>74</v>
      </c>
      <c r="BQ130" t="s">
        <v>74</v>
      </c>
      <c r="BR130" t="s">
        <v>101</v>
      </c>
      <c r="BS130" t="s">
        <v>2025</v>
      </c>
      <c r="BT130" t="str">
        <f>HYPERLINK("https%3A%2F%2Fwww.webofscience.com%2Fwos%2Fwoscc%2Ffull-record%2FWOS:000072239300007","View Full Record in Web of Science")</f>
        <v>View Full Record in Web of Science</v>
      </c>
    </row>
    <row r="131" spans="1:72" x14ac:dyDescent="0.15">
      <c r="A131" t="s">
        <v>72</v>
      </c>
      <c r="B131" t="s">
        <v>2026</v>
      </c>
      <c r="C131" t="s">
        <v>74</v>
      </c>
      <c r="D131" t="s">
        <v>74</v>
      </c>
      <c r="E131" t="s">
        <v>74</v>
      </c>
      <c r="F131" t="s">
        <v>2026</v>
      </c>
      <c r="G131" t="s">
        <v>74</v>
      </c>
      <c r="H131" t="s">
        <v>74</v>
      </c>
      <c r="I131" t="s">
        <v>2027</v>
      </c>
      <c r="J131" t="s">
        <v>994</v>
      </c>
      <c r="K131" t="s">
        <v>74</v>
      </c>
      <c r="L131" t="s">
        <v>74</v>
      </c>
      <c r="M131" t="s">
        <v>77</v>
      </c>
      <c r="N131" t="s">
        <v>78</v>
      </c>
      <c r="O131" t="s">
        <v>74</v>
      </c>
      <c r="P131" t="s">
        <v>74</v>
      </c>
      <c r="Q131" t="s">
        <v>74</v>
      </c>
      <c r="R131" t="s">
        <v>74</v>
      </c>
      <c r="S131" t="s">
        <v>74</v>
      </c>
      <c r="T131" t="s">
        <v>74</v>
      </c>
      <c r="U131" t="s">
        <v>2028</v>
      </c>
      <c r="V131" t="s">
        <v>2029</v>
      </c>
      <c r="W131" t="s">
        <v>2030</v>
      </c>
      <c r="X131" t="s">
        <v>2031</v>
      </c>
      <c r="Y131" t="s">
        <v>2032</v>
      </c>
      <c r="Z131" t="s">
        <v>2033</v>
      </c>
      <c r="AA131" t="s">
        <v>2034</v>
      </c>
      <c r="AB131" t="s">
        <v>2035</v>
      </c>
      <c r="AC131" t="s">
        <v>74</v>
      </c>
      <c r="AD131" t="s">
        <v>74</v>
      </c>
      <c r="AE131" t="s">
        <v>74</v>
      </c>
      <c r="AF131" t="s">
        <v>74</v>
      </c>
      <c r="AG131">
        <v>72</v>
      </c>
      <c r="AH131">
        <v>110</v>
      </c>
      <c r="AI131">
        <v>118</v>
      </c>
      <c r="AJ131">
        <v>0</v>
      </c>
      <c r="AK131">
        <v>10</v>
      </c>
      <c r="AL131" t="s">
        <v>87</v>
      </c>
      <c r="AM131" t="s">
        <v>88</v>
      </c>
      <c r="AN131" t="s">
        <v>89</v>
      </c>
      <c r="AO131" t="s">
        <v>1001</v>
      </c>
      <c r="AP131" t="s">
        <v>2036</v>
      </c>
      <c r="AQ131" t="s">
        <v>74</v>
      </c>
      <c r="AR131" t="s">
        <v>1002</v>
      </c>
      <c r="AS131" t="s">
        <v>1003</v>
      </c>
      <c r="AT131" t="s">
        <v>2037</v>
      </c>
      <c r="AU131">
        <v>1998</v>
      </c>
      <c r="AV131">
        <v>103</v>
      </c>
      <c r="AW131" t="s">
        <v>2038</v>
      </c>
      <c r="AX131" t="s">
        <v>74</v>
      </c>
      <c r="AY131" t="s">
        <v>74</v>
      </c>
      <c r="AZ131" t="s">
        <v>74</v>
      </c>
      <c r="BA131" t="s">
        <v>74</v>
      </c>
      <c r="BB131">
        <v>1513</v>
      </c>
      <c r="BC131">
        <v>1526</v>
      </c>
      <c r="BD131" t="s">
        <v>74</v>
      </c>
      <c r="BE131" t="s">
        <v>2039</v>
      </c>
      <c r="BF131" t="str">
        <f>HYPERLINK("http://dx.doi.org/10.1029/97JD02466","http://dx.doi.org/10.1029/97JD02466")</f>
        <v>http://dx.doi.org/10.1029/97JD02466</v>
      </c>
      <c r="BG131" t="s">
        <v>74</v>
      </c>
      <c r="BH131" t="s">
        <v>74</v>
      </c>
      <c r="BI131">
        <v>14</v>
      </c>
      <c r="BJ131" t="s">
        <v>635</v>
      </c>
      <c r="BK131" t="s">
        <v>98</v>
      </c>
      <c r="BL131" t="s">
        <v>635</v>
      </c>
      <c r="BM131" t="s">
        <v>2040</v>
      </c>
      <c r="BN131" t="s">
        <v>74</v>
      </c>
      <c r="BO131" t="s">
        <v>509</v>
      </c>
      <c r="BP131" t="s">
        <v>74</v>
      </c>
      <c r="BQ131" t="s">
        <v>74</v>
      </c>
      <c r="BR131" t="s">
        <v>101</v>
      </c>
      <c r="BS131" t="s">
        <v>2041</v>
      </c>
      <c r="BT131" t="str">
        <f>HYPERLINK("https%3A%2F%2Fwww.webofscience.com%2Fwos%2Fwoscc%2Ffull-record%2FWOS:000071537300013","View Full Record in Web of Science")</f>
        <v>View Full Record in Web of Science</v>
      </c>
    </row>
    <row r="132" spans="1:72" x14ac:dyDescent="0.15">
      <c r="A132" t="s">
        <v>72</v>
      </c>
      <c r="B132" t="s">
        <v>2042</v>
      </c>
      <c r="C132" t="s">
        <v>74</v>
      </c>
      <c r="D132" t="s">
        <v>74</v>
      </c>
      <c r="E132" t="s">
        <v>74</v>
      </c>
      <c r="F132" t="s">
        <v>2042</v>
      </c>
      <c r="G132" t="s">
        <v>74</v>
      </c>
      <c r="H132" t="s">
        <v>74</v>
      </c>
      <c r="I132" t="s">
        <v>2043</v>
      </c>
      <c r="J132" t="s">
        <v>994</v>
      </c>
      <c r="K132" t="s">
        <v>74</v>
      </c>
      <c r="L132" t="s">
        <v>74</v>
      </c>
      <c r="M132" t="s">
        <v>77</v>
      </c>
      <c r="N132" t="s">
        <v>78</v>
      </c>
      <c r="O132" t="s">
        <v>74</v>
      </c>
      <c r="P132" t="s">
        <v>74</v>
      </c>
      <c r="Q132" t="s">
        <v>74</v>
      </c>
      <c r="R132" t="s">
        <v>74</v>
      </c>
      <c r="S132" t="s">
        <v>74</v>
      </c>
      <c r="T132" t="s">
        <v>74</v>
      </c>
      <c r="U132" t="s">
        <v>2044</v>
      </c>
      <c r="V132" t="s">
        <v>2045</v>
      </c>
      <c r="W132" t="s">
        <v>2046</v>
      </c>
      <c r="X132" t="s">
        <v>2047</v>
      </c>
      <c r="Y132" t="s">
        <v>2048</v>
      </c>
      <c r="Z132" t="s">
        <v>2049</v>
      </c>
      <c r="AA132" t="s">
        <v>2050</v>
      </c>
      <c r="AB132" t="s">
        <v>2051</v>
      </c>
      <c r="AC132" t="s">
        <v>74</v>
      </c>
      <c r="AD132" t="s">
        <v>74</v>
      </c>
      <c r="AE132" t="s">
        <v>74</v>
      </c>
      <c r="AF132" t="s">
        <v>74</v>
      </c>
      <c r="AG132">
        <v>53</v>
      </c>
      <c r="AH132">
        <v>51</v>
      </c>
      <c r="AI132">
        <v>53</v>
      </c>
      <c r="AJ132">
        <v>0</v>
      </c>
      <c r="AK132">
        <v>1</v>
      </c>
      <c r="AL132" t="s">
        <v>87</v>
      </c>
      <c r="AM132" t="s">
        <v>88</v>
      </c>
      <c r="AN132" t="s">
        <v>89</v>
      </c>
      <c r="AO132" t="s">
        <v>1001</v>
      </c>
      <c r="AP132" t="s">
        <v>2036</v>
      </c>
      <c r="AQ132" t="s">
        <v>74</v>
      </c>
      <c r="AR132" t="s">
        <v>1002</v>
      </c>
      <c r="AS132" t="s">
        <v>1003</v>
      </c>
      <c r="AT132" t="s">
        <v>2037</v>
      </c>
      <c r="AU132">
        <v>1998</v>
      </c>
      <c r="AV132">
        <v>103</v>
      </c>
      <c r="AW132" t="s">
        <v>2038</v>
      </c>
      <c r="AX132" t="s">
        <v>74</v>
      </c>
      <c r="AY132" t="s">
        <v>74</v>
      </c>
      <c r="AZ132" t="s">
        <v>74</v>
      </c>
      <c r="BA132" t="s">
        <v>74</v>
      </c>
      <c r="BB132">
        <v>1585</v>
      </c>
      <c r="BC132">
        <v>1605</v>
      </c>
      <c r="BD132" t="s">
        <v>74</v>
      </c>
      <c r="BE132" t="s">
        <v>2052</v>
      </c>
      <c r="BF132" t="str">
        <f>HYPERLINK("http://dx.doi.org/10.1029/97JD02495","http://dx.doi.org/10.1029/97JD02495")</f>
        <v>http://dx.doi.org/10.1029/97JD02495</v>
      </c>
      <c r="BG132" t="s">
        <v>74</v>
      </c>
      <c r="BH132" t="s">
        <v>74</v>
      </c>
      <c r="BI132">
        <v>21</v>
      </c>
      <c r="BJ132" t="s">
        <v>635</v>
      </c>
      <c r="BK132" t="s">
        <v>98</v>
      </c>
      <c r="BL132" t="s">
        <v>635</v>
      </c>
      <c r="BM132" t="s">
        <v>2040</v>
      </c>
      <c r="BN132" t="s">
        <v>74</v>
      </c>
      <c r="BO132" t="s">
        <v>100</v>
      </c>
      <c r="BP132" t="s">
        <v>74</v>
      </c>
      <c r="BQ132" t="s">
        <v>74</v>
      </c>
      <c r="BR132" t="s">
        <v>101</v>
      </c>
      <c r="BS132" t="s">
        <v>2053</v>
      </c>
      <c r="BT132" t="str">
        <f>HYPERLINK("https%3A%2F%2Fwww.webofscience.com%2Fwos%2Fwoscc%2Ffull-record%2FWOS:000071537300018","View Full Record in Web of Science")</f>
        <v>View Full Record in Web of Science</v>
      </c>
    </row>
    <row r="133" spans="1:72" x14ac:dyDescent="0.15">
      <c r="A133" t="s">
        <v>72</v>
      </c>
      <c r="B133" t="s">
        <v>2054</v>
      </c>
      <c r="C133" t="s">
        <v>74</v>
      </c>
      <c r="D133" t="s">
        <v>74</v>
      </c>
      <c r="E133" t="s">
        <v>74</v>
      </c>
      <c r="F133" t="s">
        <v>2054</v>
      </c>
      <c r="G133" t="s">
        <v>74</v>
      </c>
      <c r="H133" t="s">
        <v>74</v>
      </c>
      <c r="I133" t="s">
        <v>2055</v>
      </c>
      <c r="J133" t="s">
        <v>994</v>
      </c>
      <c r="K133" t="s">
        <v>74</v>
      </c>
      <c r="L133" t="s">
        <v>74</v>
      </c>
      <c r="M133" t="s">
        <v>77</v>
      </c>
      <c r="N133" t="s">
        <v>78</v>
      </c>
      <c r="O133" t="s">
        <v>74</v>
      </c>
      <c r="P133" t="s">
        <v>74</v>
      </c>
      <c r="Q133" t="s">
        <v>74</v>
      </c>
      <c r="R133" t="s">
        <v>74</v>
      </c>
      <c r="S133" t="s">
        <v>74</v>
      </c>
      <c r="T133" t="s">
        <v>74</v>
      </c>
      <c r="U133" t="s">
        <v>2056</v>
      </c>
      <c r="V133" t="s">
        <v>2057</v>
      </c>
      <c r="W133" t="s">
        <v>2058</v>
      </c>
      <c r="X133" t="s">
        <v>2059</v>
      </c>
      <c r="Y133" t="s">
        <v>2060</v>
      </c>
      <c r="Z133" t="s">
        <v>2061</v>
      </c>
      <c r="AA133" t="s">
        <v>2062</v>
      </c>
      <c r="AB133" t="s">
        <v>74</v>
      </c>
      <c r="AC133" t="s">
        <v>74</v>
      </c>
      <c r="AD133" t="s">
        <v>74</v>
      </c>
      <c r="AE133" t="s">
        <v>74</v>
      </c>
      <c r="AF133" t="s">
        <v>74</v>
      </c>
      <c r="AG133">
        <v>47</v>
      </c>
      <c r="AH133">
        <v>37</v>
      </c>
      <c r="AI133">
        <v>40</v>
      </c>
      <c r="AJ133">
        <v>0</v>
      </c>
      <c r="AK133">
        <v>7</v>
      </c>
      <c r="AL133" t="s">
        <v>87</v>
      </c>
      <c r="AM133" t="s">
        <v>88</v>
      </c>
      <c r="AN133" t="s">
        <v>89</v>
      </c>
      <c r="AO133" t="s">
        <v>1001</v>
      </c>
      <c r="AP133" t="s">
        <v>2036</v>
      </c>
      <c r="AQ133" t="s">
        <v>74</v>
      </c>
      <c r="AR133" t="s">
        <v>1002</v>
      </c>
      <c r="AS133" t="s">
        <v>1003</v>
      </c>
      <c r="AT133" t="s">
        <v>2037</v>
      </c>
      <c r="AU133">
        <v>1998</v>
      </c>
      <c r="AV133">
        <v>103</v>
      </c>
      <c r="AW133" t="s">
        <v>2038</v>
      </c>
      <c r="AX133" t="s">
        <v>74</v>
      </c>
      <c r="AY133" t="s">
        <v>74</v>
      </c>
      <c r="AZ133" t="s">
        <v>74</v>
      </c>
      <c r="BA133" t="s">
        <v>74</v>
      </c>
      <c r="BB133">
        <v>1619</v>
      </c>
      <c r="BC133">
        <v>1627</v>
      </c>
      <c r="BD133" t="s">
        <v>74</v>
      </c>
      <c r="BE133" t="s">
        <v>2063</v>
      </c>
      <c r="BF133" t="str">
        <f>HYPERLINK("http://dx.doi.org/10.1029/97JD00103","http://dx.doi.org/10.1029/97JD00103")</f>
        <v>http://dx.doi.org/10.1029/97JD00103</v>
      </c>
      <c r="BG133" t="s">
        <v>74</v>
      </c>
      <c r="BH133" t="s">
        <v>74</v>
      </c>
      <c r="BI133">
        <v>9</v>
      </c>
      <c r="BJ133" t="s">
        <v>635</v>
      </c>
      <c r="BK133" t="s">
        <v>98</v>
      </c>
      <c r="BL133" t="s">
        <v>635</v>
      </c>
      <c r="BM133" t="s">
        <v>2040</v>
      </c>
      <c r="BN133" t="s">
        <v>74</v>
      </c>
      <c r="BO133" t="s">
        <v>100</v>
      </c>
      <c r="BP133" t="s">
        <v>74</v>
      </c>
      <c r="BQ133" t="s">
        <v>74</v>
      </c>
      <c r="BR133" t="s">
        <v>101</v>
      </c>
      <c r="BS133" t="s">
        <v>2064</v>
      </c>
      <c r="BT133" t="str">
        <f>HYPERLINK("https%3A%2F%2Fwww.webofscience.com%2Fwos%2Fwoscc%2Ffull-record%2FWOS:000071537300020","View Full Record in Web of Science")</f>
        <v>View Full Record in Web of Science</v>
      </c>
    </row>
    <row r="134" spans="1:72" x14ac:dyDescent="0.15">
      <c r="A134" t="s">
        <v>72</v>
      </c>
      <c r="B134" t="s">
        <v>2065</v>
      </c>
      <c r="C134" t="s">
        <v>74</v>
      </c>
      <c r="D134" t="s">
        <v>74</v>
      </c>
      <c r="E134" t="s">
        <v>74</v>
      </c>
      <c r="F134" t="s">
        <v>2065</v>
      </c>
      <c r="G134" t="s">
        <v>74</v>
      </c>
      <c r="H134" t="s">
        <v>74</v>
      </c>
      <c r="I134" t="s">
        <v>2066</v>
      </c>
      <c r="J134" t="s">
        <v>994</v>
      </c>
      <c r="K134" t="s">
        <v>74</v>
      </c>
      <c r="L134" t="s">
        <v>74</v>
      </c>
      <c r="M134" t="s">
        <v>77</v>
      </c>
      <c r="N134" t="s">
        <v>78</v>
      </c>
      <c r="O134" t="s">
        <v>74</v>
      </c>
      <c r="P134" t="s">
        <v>74</v>
      </c>
      <c r="Q134" t="s">
        <v>74</v>
      </c>
      <c r="R134" t="s">
        <v>74</v>
      </c>
      <c r="S134" t="s">
        <v>74</v>
      </c>
      <c r="T134" t="s">
        <v>74</v>
      </c>
      <c r="U134" t="s">
        <v>2067</v>
      </c>
      <c r="V134" t="s">
        <v>2068</v>
      </c>
      <c r="W134" t="s">
        <v>2058</v>
      </c>
      <c r="X134" t="s">
        <v>2059</v>
      </c>
      <c r="Y134" t="s">
        <v>2069</v>
      </c>
      <c r="Z134" t="s">
        <v>2070</v>
      </c>
      <c r="AA134" t="s">
        <v>2071</v>
      </c>
      <c r="AB134" t="s">
        <v>2072</v>
      </c>
      <c r="AC134" t="s">
        <v>74</v>
      </c>
      <c r="AD134" t="s">
        <v>74</v>
      </c>
      <c r="AE134" t="s">
        <v>74</v>
      </c>
      <c r="AF134" t="s">
        <v>74</v>
      </c>
      <c r="AG134">
        <v>40</v>
      </c>
      <c r="AH134">
        <v>104</v>
      </c>
      <c r="AI134">
        <v>112</v>
      </c>
      <c r="AJ134">
        <v>0</v>
      </c>
      <c r="AK134">
        <v>27</v>
      </c>
      <c r="AL134" t="s">
        <v>87</v>
      </c>
      <c r="AM134" t="s">
        <v>88</v>
      </c>
      <c r="AN134" t="s">
        <v>89</v>
      </c>
      <c r="AO134" t="s">
        <v>1001</v>
      </c>
      <c r="AP134" t="s">
        <v>2036</v>
      </c>
      <c r="AQ134" t="s">
        <v>74</v>
      </c>
      <c r="AR134" t="s">
        <v>1002</v>
      </c>
      <c r="AS134" t="s">
        <v>1003</v>
      </c>
      <c r="AT134" t="s">
        <v>2037</v>
      </c>
      <c r="AU134">
        <v>1998</v>
      </c>
      <c r="AV134">
        <v>103</v>
      </c>
      <c r="AW134" t="s">
        <v>2038</v>
      </c>
      <c r="AX134" t="s">
        <v>74</v>
      </c>
      <c r="AY134" t="s">
        <v>74</v>
      </c>
      <c r="AZ134" t="s">
        <v>74</v>
      </c>
      <c r="BA134" t="s">
        <v>74</v>
      </c>
      <c r="BB134">
        <v>1629</v>
      </c>
      <c r="BC134">
        <v>1637</v>
      </c>
      <c r="BD134" t="s">
        <v>74</v>
      </c>
      <c r="BE134" t="s">
        <v>2073</v>
      </c>
      <c r="BF134" t="str">
        <f>HYPERLINK("http://dx.doi.org/10.1029/97JD00695","http://dx.doi.org/10.1029/97JD00695")</f>
        <v>http://dx.doi.org/10.1029/97JD00695</v>
      </c>
      <c r="BG134" t="s">
        <v>74</v>
      </c>
      <c r="BH134" t="s">
        <v>74</v>
      </c>
      <c r="BI134">
        <v>9</v>
      </c>
      <c r="BJ134" t="s">
        <v>635</v>
      </c>
      <c r="BK134" t="s">
        <v>98</v>
      </c>
      <c r="BL134" t="s">
        <v>635</v>
      </c>
      <c r="BM134" t="s">
        <v>2040</v>
      </c>
      <c r="BN134" t="s">
        <v>74</v>
      </c>
      <c r="BO134" t="s">
        <v>100</v>
      </c>
      <c r="BP134" t="s">
        <v>74</v>
      </c>
      <c r="BQ134" t="s">
        <v>74</v>
      </c>
      <c r="BR134" t="s">
        <v>101</v>
      </c>
      <c r="BS134" t="s">
        <v>2074</v>
      </c>
      <c r="BT134" t="str">
        <f>HYPERLINK("https%3A%2F%2Fwww.webofscience.com%2Fwos%2Fwoscc%2Ffull-record%2FWOS:000071537300021","View Full Record in Web of Science")</f>
        <v>View Full Record in Web of Science</v>
      </c>
    </row>
    <row r="135" spans="1:72" x14ac:dyDescent="0.15">
      <c r="A135" t="s">
        <v>72</v>
      </c>
      <c r="B135" t="s">
        <v>2075</v>
      </c>
      <c r="C135" t="s">
        <v>74</v>
      </c>
      <c r="D135" t="s">
        <v>74</v>
      </c>
      <c r="E135" t="s">
        <v>74</v>
      </c>
      <c r="F135" t="s">
        <v>2075</v>
      </c>
      <c r="G135" t="s">
        <v>74</v>
      </c>
      <c r="H135" t="s">
        <v>74</v>
      </c>
      <c r="I135" t="s">
        <v>2076</v>
      </c>
      <c r="J135" t="s">
        <v>994</v>
      </c>
      <c r="K135" t="s">
        <v>74</v>
      </c>
      <c r="L135" t="s">
        <v>74</v>
      </c>
      <c r="M135" t="s">
        <v>77</v>
      </c>
      <c r="N135" t="s">
        <v>78</v>
      </c>
      <c r="O135" t="s">
        <v>74</v>
      </c>
      <c r="P135" t="s">
        <v>74</v>
      </c>
      <c r="Q135" t="s">
        <v>74</v>
      </c>
      <c r="R135" t="s">
        <v>74</v>
      </c>
      <c r="S135" t="s">
        <v>74</v>
      </c>
      <c r="T135" t="s">
        <v>74</v>
      </c>
      <c r="U135" t="s">
        <v>2077</v>
      </c>
      <c r="V135" t="s">
        <v>2078</v>
      </c>
      <c r="W135" t="s">
        <v>2079</v>
      </c>
      <c r="X135" t="s">
        <v>2080</v>
      </c>
      <c r="Y135" t="s">
        <v>2081</v>
      </c>
      <c r="Z135" t="s">
        <v>2082</v>
      </c>
      <c r="AA135" t="s">
        <v>2071</v>
      </c>
      <c r="AB135" t="s">
        <v>74</v>
      </c>
      <c r="AC135" t="s">
        <v>74</v>
      </c>
      <c r="AD135" t="s">
        <v>74</v>
      </c>
      <c r="AE135" t="s">
        <v>74</v>
      </c>
      <c r="AF135" t="s">
        <v>74</v>
      </c>
      <c r="AG135">
        <v>37</v>
      </c>
      <c r="AH135">
        <v>28</v>
      </c>
      <c r="AI135">
        <v>32</v>
      </c>
      <c r="AJ135">
        <v>1</v>
      </c>
      <c r="AK135">
        <v>10</v>
      </c>
      <c r="AL135" t="s">
        <v>87</v>
      </c>
      <c r="AM135" t="s">
        <v>88</v>
      </c>
      <c r="AN135" t="s">
        <v>89</v>
      </c>
      <c r="AO135" t="s">
        <v>1001</v>
      </c>
      <c r="AP135" t="s">
        <v>2036</v>
      </c>
      <c r="AQ135" t="s">
        <v>74</v>
      </c>
      <c r="AR135" t="s">
        <v>1002</v>
      </c>
      <c r="AS135" t="s">
        <v>1003</v>
      </c>
      <c r="AT135" t="s">
        <v>2037</v>
      </c>
      <c r="AU135">
        <v>1998</v>
      </c>
      <c r="AV135">
        <v>103</v>
      </c>
      <c r="AW135" t="s">
        <v>2038</v>
      </c>
      <c r="AX135" t="s">
        <v>74</v>
      </c>
      <c r="AY135" t="s">
        <v>74</v>
      </c>
      <c r="AZ135" t="s">
        <v>74</v>
      </c>
      <c r="BA135" t="s">
        <v>74</v>
      </c>
      <c r="BB135">
        <v>1639</v>
      </c>
      <c r="BC135">
        <v>1645</v>
      </c>
      <c r="BD135" t="s">
        <v>74</v>
      </c>
      <c r="BE135" t="s">
        <v>2083</v>
      </c>
      <c r="BF135" t="str">
        <f>HYPERLINK("http://dx.doi.org/10.1029/97JD01212","http://dx.doi.org/10.1029/97JD01212")</f>
        <v>http://dx.doi.org/10.1029/97JD01212</v>
      </c>
      <c r="BG135" t="s">
        <v>74</v>
      </c>
      <c r="BH135" t="s">
        <v>74</v>
      </c>
      <c r="BI135">
        <v>7</v>
      </c>
      <c r="BJ135" t="s">
        <v>635</v>
      </c>
      <c r="BK135" t="s">
        <v>98</v>
      </c>
      <c r="BL135" t="s">
        <v>635</v>
      </c>
      <c r="BM135" t="s">
        <v>2040</v>
      </c>
      <c r="BN135" t="s">
        <v>74</v>
      </c>
      <c r="BO135" t="s">
        <v>100</v>
      </c>
      <c r="BP135" t="s">
        <v>74</v>
      </c>
      <c r="BQ135" t="s">
        <v>74</v>
      </c>
      <c r="BR135" t="s">
        <v>101</v>
      </c>
      <c r="BS135" t="s">
        <v>2084</v>
      </c>
      <c r="BT135" t="str">
        <f>HYPERLINK("https%3A%2F%2Fwww.webofscience.com%2Fwos%2Fwoscc%2Ffull-record%2FWOS:000071537300022","View Full Record in Web of Science")</f>
        <v>View Full Record in Web of Science</v>
      </c>
    </row>
    <row r="136" spans="1:72" x14ac:dyDescent="0.15">
      <c r="A136" t="s">
        <v>72</v>
      </c>
      <c r="B136" t="s">
        <v>2085</v>
      </c>
      <c r="C136" t="s">
        <v>74</v>
      </c>
      <c r="D136" t="s">
        <v>74</v>
      </c>
      <c r="E136" t="s">
        <v>74</v>
      </c>
      <c r="F136" t="s">
        <v>2085</v>
      </c>
      <c r="G136" t="s">
        <v>74</v>
      </c>
      <c r="H136" t="s">
        <v>74</v>
      </c>
      <c r="I136" t="s">
        <v>2086</v>
      </c>
      <c r="J136" t="s">
        <v>994</v>
      </c>
      <c r="K136" t="s">
        <v>74</v>
      </c>
      <c r="L136" t="s">
        <v>74</v>
      </c>
      <c r="M136" t="s">
        <v>77</v>
      </c>
      <c r="N136" t="s">
        <v>78</v>
      </c>
      <c r="O136" t="s">
        <v>74</v>
      </c>
      <c r="P136" t="s">
        <v>74</v>
      </c>
      <c r="Q136" t="s">
        <v>74</v>
      </c>
      <c r="R136" t="s">
        <v>74</v>
      </c>
      <c r="S136" t="s">
        <v>74</v>
      </c>
      <c r="T136" t="s">
        <v>74</v>
      </c>
      <c r="U136" t="s">
        <v>2087</v>
      </c>
      <c r="V136" t="s">
        <v>2088</v>
      </c>
      <c r="W136" t="s">
        <v>2089</v>
      </c>
      <c r="X136" t="s">
        <v>2090</v>
      </c>
      <c r="Y136" t="s">
        <v>2091</v>
      </c>
      <c r="Z136" t="s">
        <v>2082</v>
      </c>
      <c r="AA136" t="s">
        <v>2092</v>
      </c>
      <c r="AB136" t="s">
        <v>2093</v>
      </c>
      <c r="AC136" t="s">
        <v>74</v>
      </c>
      <c r="AD136" t="s">
        <v>74</v>
      </c>
      <c r="AE136" t="s">
        <v>74</v>
      </c>
      <c r="AF136" t="s">
        <v>74</v>
      </c>
      <c r="AG136">
        <v>49</v>
      </c>
      <c r="AH136">
        <v>117</v>
      </c>
      <c r="AI136">
        <v>127</v>
      </c>
      <c r="AJ136">
        <v>0</v>
      </c>
      <c r="AK136">
        <v>22</v>
      </c>
      <c r="AL136" t="s">
        <v>87</v>
      </c>
      <c r="AM136" t="s">
        <v>88</v>
      </c>
      <c r="AN136" t="s">
        <v>89</v>
      </c>
      <c r="AO136" t="s">
        <v>1001</v>
      </c>
      <c r="AP136" t="s">
        <v>2036</v>
      </c>
      <c r="AQ136" t="s">
        <v>74</v>
      </c>
      <c r="AR136" t="s">
        <v>1002</v>
      </c>
      <c r="AS136" t="s">
        <v>1003</v>
      </c>
      <c r="AT136" t="s">
        <v>2037</v>
      </c>
      <c r="AU136">
        <v>1998</v>
      </c>
      <c r="AV136">
        <v>103</v>
      </c>
      <c r="AW136" t="s">
        <v>2038</v>
      </c>
      <c r="AX136" t="s">
        <v>74</v>
      </c>
      <c r="AY136" t="s">
        <v>74</v>
      </c>
      <c r="AZ136" t="s">
        <v>74</v>
      </c>
      <c r="BA136" t="s">
        <v>74</v>
      </c>
      <c r="BB136">
        <v>1647</v>
      </c>
      <c r="BC136">
        <v>1656</v>
      </c>
      <c r="BD136" t="s">
        <v>74</v>
      </c>
      <c r="BE136" t="s">
        <v>2094</v>
      </c>
      <c r="BF136" t="str">
        <f>HYPERLINK("http://dx.doi.org/10.1029/97JD02376","http://dx.doi.org/10.1029/97JD02376")</f>
        <v>http://dx.doi.org/10.1029/97JD02376</v>
      </c>
      <c r="BG136" t="s">
        <v>74</v>
      </c>
      <c r="BH136" t="s">
        <v>74</v>
      </c>
      <c r="BI136">
        <v>10</v>
      </c>
      <c r="BJ136" t="s">
        <v>635</v>
      </c>
      <c r="BK136" t="s">
        <v>98</v>
      </c>
      <c r="BL136" t="s">
        <v>635</v>
      </c>
      <c r="BM136" t="s">
        <v>2040</v>
      </c>
      <c r="BN136" t="s">
        <v>74</v>
      </c>
      <c r="BO136" t="s">
        <v>74</v>
      </c>
      <c r="BP136" t="s">
        <v>74</v>
      </c>
      <c r="BQ136" t="s">
        <v>74</v>
      </c>
      <c r="BR136" t="s">
        <v>101</v>
      </c>
      <c r="BS136" t="s">
        <v>2095</v>
      </c>
      <c r="BT136" t="str">
        <f>HYPERLINK("https%3A%2F%2Fwww.webofscience.com%2Fwos%2Fwoscc%2Ffull-record%2FWOS:000071537300023","View Full Record in Web of Science")</f>
        <v>View Full Record in Web of Science</v>
      </c>
    </row>
    <row r="137" spans="1:72" x14ac:dyDescent="0.15">
      <c r="A137" t="s">
        <v>72</v>
      </c>
      <c r="B137" t="s">
        <v>2096</v>
      </c>
      <c r="C137" t="s">
        <v>74</v>
      </c>
      <c r="D137" t="s">
        <v>74</v>
      </c>
      <c r="E137" t="s">
        <v>74</v>
      </c>
      <c r="F137" t="s">
        <v>2096</v>
      </c>
      <c r="G137" t="s">
        <v>74</v>
      </c>
      <c r="H137" t="s">
        <v>74</v>
      </c>
      <c r="I137" t="s">
        <v>2097</v>
      </c>
      <c r="J137" t="s">
        <v>994</v>
      </c>
      <c r="K137" t="s">
        <v>74</v>
      </c>
      <c r="L137" t="s">
        <v>74</v>
      </c>
      <c r="M137" t="s">
        <v>77</v>
      </c>
      <c r="N137" t="s">
        <v>78</v>
      </c>
      <c r="O137" t="s">
        <v>74</v>
      </c>
      <c r="P137" t="s">
        <v>74</v>
      </c>
      <c r="Q137" t="s">
        <v>74</v>
      </c>
      <c r="R137" t="s">
        <v>74</v>
      </c>
      <c r="S137" t="s">
        <v>74</v>
      </c>
      <c r="T137" t="s">
        <v>74</v>
      </c>
      <c r="U137" t="s">
        <v>2098</v>
      </c>
      <c r="V137" t="s">
        <v>2099</v>
      </c>
      <c r="W137" t="s">
        <v>2100</v>
      </c>
      <c r="X137" t="s">
        <v>2101</v>
      </c>
      <c r="Y137" t="s">
        <v>2102</v>
      </c>
      <c r="Z137" t="s">
        <v>2103</v>
      </c>
      <c r="AA137" t="s">
        <v>2104</v>
      </c>
      <c r="AB137" t="s">
        <v>2105</v>
      </c>
      <c r="AC137" t="s">
        <v>74</v>
      </c>
      <c r="AD137" t="s">
        <v>74</v>
      </c>
      <c r="AE137" t="s">
        <v>74</v>
      </c>
      <c r="AF137" t="s">
        <v>74</v>
      </c>
      <c r="AG137">
        <v>88</v>
      </c>
      <c r="AH137">
        <v>139</v>
      </c>
      <c r="AI137">
        <v>148</v>
      </c>
      <c r="AJ137">
        <v>1</v>
      </c>
      <c r="AK137">
        <v>50</v>
      </c>
      <c r="AL137" t="s">
        <v>87</v>
      </c>
      <c r="AM137" t="s">
        <v>88</v>
      </c>
      <c r="AN137" t="s">
        <v>89</v>
      </c>
      <c r="AO137" t="s">
        <v>1001</v>
      </c>
      <c r="AP137" t="s">
        <v>2036</v>
      </c>
      <c r="AQ137" t="s">
        <v>74</v>
      </c>
      <c r="AR137" t="s">
        <v>1002</v>
      </c>
      <c r="AS137" t="s">
        <v>1003</v>
      </c>
      <c r="AT137" t="s">
        <v>2037</v>
      </c>
      <c r="AU137">
        <v>1998</v>
      </c>
      <c r="AV137">
        <v>103</v>
      </c>
      <c r="AW137" t="s">
        <v>2038</v>
      </c>
      <c r="AX137" t="s">
        <v>74</v>
      </c>
      <c r="AY137" t="s">
        <v>74</v>
      </c>
      <c r="AZ137" t="s">
        <v>74</v>
      </c>
      <c r="BA137" t="s">
        <v>74</v>
      </c>
      <c r="BB137">
        <v>1657</v>
      </c>
      <c r="BC137">
        <v>1678</v>
      </c>
      <c r="BD137" t="s">
        <v>74</v>
      </c>
      <c r="BE137" t="s">
        <v>2106</v>
      </c>
      <c r="BF137" t="str">
        <f>HYPERLINK("http://dx.doi.org/10.1029/97JD03452","http://dx.doi.org/10.1029/97JD03452")</f>
        <v>http://dx.doi.org/10.1029/97JD03452</v>
      </c>
      <c r="BG137" t="s">
        <v>74</v>
      </c>
      <c r="BH137" t="s">
        <v>74</v>
      </c>
      <c r="BI137">
        <v>22</v>
      </c>
      <c r="BJ137" t="s">
        <v>635</v>
      </c>
      <c r="BK137" t="s">
        <v>98</v>
      </c>
      <c r="BL137" t="s">
        <v>635</v>
      </c>
      <c r="BM137" t="s">
        <v>2040</v>
      </c>
      <c r="BN137" t="s">
        <v>74</v>
      </c>
      <c r="BO137" t="s">
        <v>100</v>
      </c>
      <c r="BP137" t="s">
        <v>74</v>
      </c>
      <c r="BQ137" t="s">
        <v>74</v>
      </c>
      <c r="BR137" t="s">
        <v>101</v>
      </c>
      <c r="BS137" t="s">
        <v>2107</v>
      </c>
      <c r="BT137" t="str">
        <f>HYPERLINK("https%3A%2F%2Fwww.webofscience.com%2Fwos%2Fwoscc%2Ffull-record%2FWOS:000071537300024","View Full Record in Web of Science")</f>
        <v>View Full Record in Web of Science</v>
      </c>
    </row>
    <row r="138" spans="1:72" x14ac:dyDescent="0.15">
      <c r="A138" t="s">
        <v>72</v>
      </c>
      <c r="B138" t="s">
        <v>2108</v>
      </c>
      <c r="C138" t="s">
        <v>74</v>
      </c>
      <c r="D138" t="s">
        <v>74</v>
      </c>
      <c r="E138" t="s">
        <v>74</v>
      </c>
      <c r="F138" t="s">
        <v>2108</v>
      </c>
      <c r="G138" t="s">
        <v>74</v>
      </c>
      <c r="H138" t="s">
        <v>74</v>
      </c>
      <c r="I138" t="s">
        <v>2109</v>
      </c>
      <c r="J138" t="s">
        <v>1581</v>
      </c>
      <c r="K138" t="s">
        <v>74</v>
      </c>
      <c r="L138" t="s">
        <v>74</v>
      </c>
      <c r="M138" t="s">
        <v>77</v>
      </c>
      <c r="N138" t="s">
        <v>78</v>
      </c>
      <c r="O138" t="s">
        <v>74</v>
      </c>
      <c r="P138" t="s">
        <v>74</v>
      </c>
      <c r="Q138" t="s">
        <v>74</v>
      </c>
      <c r="R138" t="s">
        <v>74</v>
      </c>
      <c r="S138" t="s">
        <v>74</v>
      </c>
      <c r="T138" t="s">
        <v>74</v>
      </c>
      <c r="U138" t="s">
        <v>2110</v>
      </c>
      <c r="V138" t="s">
        <v>2111</v>
      </c>
      <c r="W138" t="s">
        <v>2112</v>
      </c>
      <c r="X138" t="s">
        <v>2113</v>
      </c>
      <c r="Y138" t="s">
        <v>2114</v>
      </c>
      <c r="Z138" t="s">
        <v>74</v>
      </c>
      <c r="AA138" t="s">
        <v>74</v>
      </c>
      <c r="AB138" t="s">
        <v>2115</v>
      </c>
      <c r="AC138" t="s">
        <v>74</v>
      </c>
      <c r="AD138" t="s">
        <v>74</v>
      </c>
      <c r="AE138" t="s">
        <v>74</v>
      </c>
      <c r="AF138" t="s">
        <v>74</v>
      </c>
      <c r="AG138">
        <v>17</v>
      </c>
      <c r="AH138">
        <v>5</v>
      </c>
      <c r="AI138">
        <v>5</v>
      </c>
      <c r="AJ138">
        <v>0</v>
      </c>
      <c r="AK138">
        <v>1</v>
      </c>
      <c r="AL138" t="s">
        <v>87</v>
      </c>
      <c r="AM138" t="s">
        <v>88</v>
      </c>
      <c r="AN138" t="s">
        <v>89</v>
      </c>
      <c r="AO138" t="s">
        <v>1589</v>
      </c>
      <c r="AP138" t="s">
        <v>74</v>
      </c>
      <c r="AQ138" t="s">
        <v>74</v>
      </c>
      <c r="AR138" t="s">
        <v>1590</v>
      </c>
      <c r="AS138" t="s">
        <v>1591</v>
      </c>
      <c r="AT138" t="s">
        <v>2116</v>
      </c>
      <c r="AU138">
        <v>1998</v>
      </c>
      <c r="AV138">
        <v>25</v>
      </c>
      <c r="AW138">
        <v>2</v>
      </c>
      <c r="AX138" t="s">
        <v>74</v>
      </c>
      <c r="AY138" t="s">
        <v>74</v>
      </c>
      <c r="AZ138" t="s">
        <v>74</v>
      </c>
      <c r="BA138" t="s">
        <v>74</v>
      </c>
      <c r="BB138">
        <v>147</v>
      </c>
      <c r="BC138">
        <v>150</v>
      </c>
      <c r="BD138" t="s">
        <v>74</v>
      </c>
      <c r="BE138" t="s">
        <v>2117</v>
      </c>
      <c r="BF138" t="str">
        <f>HYPERLINK("http://dx.doi.org/10.1029/97GL53637","http://dx.doi.org/10.1029/97GL53637")</f>
        <v>http://dx.doi.org/10.1029/97GL53637</v>
      </c>
      <c r="BG138" t="s">
        <v>74</v>
      </c>
      <c r="BH138" t="s">
        <v>74</v>
      </c>
      <c r="BI138">
        <v>4</v>
      </c>
      <c r="BJ138" t="s">
        <v>769</v>
      </c>
      <c r="BK138" t="s">
        <v>98</v>
      </c>
      <c r="BL138" t="s">
        <v>471</v>
      </c>
      <c r="BM138" t="s">
        <v>2118</v>
      </c>
      <c r="BN138" t="s">
        <v>74</v>
      </c>
      <c r="BO138" t="s">
        <v>100</v>
      </c>
      <c r="BP138" t="s">
        <v>74</v>
      </c>
      <c r="BQ138" t="s">
        <v>74</v>
      </c>
      <c r="BR138" t="s">
        <v>101</v>
      </c>
      <c r="BS138" t="s">
        <v>2119</v>
      </c>
      <c r="BT138" t="str">
        <f>HYPERLINK("https%3A%2F%2Fwww.webofscience.com%2Fwos%2Fwoscc%2Ffull-record%2FWOS:000071581600004","View Full Record in Web of Science")</f>
        <v>View Full Record in Web of Science</v>
      </c>
    </row>
    <row r="139" spans="1:72" x14ac:dyDescent="0.15">
      <c r="A139" t="s">
        <v>72</v>
      </c>
      <c r="B139" t="s">
        <v>2120</v>
      </c>
      <c r="C139" t="s">
        <v>74</v>
      </c>
      <c r="D139" t="s">
        <v>74</v>
      </c>
      <c r="E139" t="s">
        <v>74</v>
      </c>
      <c r="F139" t="s">
        <v>2120</v>
      </c>
      <c r="G139" t="s">
        <v>74</v>
      </c>
      <c r="H139" t="s">
        <v>74</v>
      </c>
      <c r="I139" t="s">
        <v>2121</v>
      </c>
      <c r="J139" t="s">
        <v>76</v>
      </c>
      <c r="K139" t="s">
        <v>74</v>
      </c>
      <c r="L139" t="s">
        <v>74</v>
      </c>
      <c r="M139" t="s">
        <v>77</v>
      </c>
      <c r="N139" t="s">
        <v>78</v>
      </c>
      <c r="O139" t="s">
        <v>74</v>
      </c>
      <c r="P139" t="s">
        <v>74</v>
      </c>
      <c r="Q139" t="s">
        <v>74</v>
      </c>
      <c r="R139" t="s">
        <v>74</v>
      </c>
      <c r="S139" t="s">
        <v>74</v>
      </c>
      <c r="T139" t="s">
        <v>74</v>
      </c>
      <c r="U139" t="s">
        <v>2122</v>
      </c>
      <c r="V139" t="s">
        <v>2123</v>
      </c>
      <c r="W139" t="s">
        <v>2124</v>
      </c>
      <c r="X139" t="s">
        <v>2125</v>
      </c>
      <c r="Y139" t="s">
        <v>2126</v>
      </c>
      <c r="Z139" t="s">
        <v>74</v>
      </c>
      <c r="AA139" t="s">
        <v>74</v>
      </c>
      <c r="AB139" t="s">
        <v>74</v>
      </c>
      <c r="AC139" t="s">
        <v>74</v>
      </c>
      <c r="AD139" t="s">
        <v>74</v>
      </c>
      <c r="AE139" t="s">
        <v>74</v>
      </c>
      <c r="AF139" t="s">
        <v>74</v>
      </c>
      <c r="AG139">
        <v>28</v>
      </c>
      <c r="AH139">
        <v>8</v>
      </c>
      <c r="AI139">
        <v>8</v>
      </c>
      <c r="AJ139">
        <v>1</v>
      </c>
      <c r="AK139">
        <v>4</v>
      </c>
      <c r="AL139" t="s">
        <v>87</v>
      </c>
      <c r="AM139" t="s">
        <v>88</v>
      </c>
      <c r="AN139" t="s">
        <v>89</v>
      </c>
      <c r="AO139" t="s">
        <v>74</v>
      </c>
      <c r="AP139" t="s">
        <v>74</v>
      </c>
      <c r="AQ139" t="s">
        <v>74</v>
      </c>
      <c r="AR139" t="s">
        <v>92</v>
      </c>
      <c r="AS139" t="s">
        <v>93</v>
      </c>
      <c r="AT139" t="s">
        <v>2116</v>
      </c>
      <c r="AU139">
        <v>1998</v>
      </c>
      <c r="AV139">
        <v>103</v>
      </c>
      <c r="AW139" t="s">
        <v>2127</v>
      </c>
      <c r="AX139" t="s">
        <v>74</v>
      </c>
      <c r="AY139" t="s">
        <v>74</v>
      </c>
      <c r="AZ139" t="s">
        <v>74</v>
      </c>
      <c r="BA139" t="s">
        <v>74</v>
      </c>
      <c r="BB139">
        <v>1067</v>
      </c>
      <c r="BC139">
        <v>1086</v>
      </c>
      <c r="BD139" t="s">
        <v>74</v>
      </c>
      <c r="BE139" t="s">
        <v>2128</v>
      </c>
      <c r="BF139" t="str">
        <f>HYPERLINK("http://dx.doi.org/10.1029/97JC02547","http://dx.doi.org/10.1029/97JC02547")</f>
        <v>http://dx.doi.org/10.1029/97JC02547</v>
      </c>
      <c r="BG139" t="s">
        <v>74</v>
      </c>
      <c r="BH139" t="s">
        <v>74</v>
      </c>
      <c r="BI139">
        <v>20</v>
      </c>
      <c r="BJ139" t="s">
        <v>97</v>
      </c>
      <c r="BK139" t="s">
        <v>98</v>
      </c>
      <c r="BL139" t="s">
        <v>97</v>
      </c>
      <c r="BM139" t="s">
        <v>2129</v>
      </c>
      <c r="BN139" t="s">
        <v>74</v>
      </c>
      <c r="BO139" t="s">
        <v>100</v>
      </c>
      <c r="BP139" t="s">
        <v>74</v>
      </c>
      <c r="BQ139" t="s">
        <v>74</v>
      </c>
      <c r="BR139" t="s">
        <v>101</v>
      </c>
      <c r="BS139" t="s">
        <v>2130</v>
      </c>
      <c r="BT139" t="str">
        <f>HYPERLINK("https%3A%2F%2Fwww.webofscience.com%2Fwos%2Fwoscc%2Ffull-record%2FWOS:000071415800005","View Full Record in Web of Science")</f>
        <v>View Full Record in Web of Science</v>
      </c>
    </row>
    <row r="140" spans="1:72" x14ac:dyDescent="0.15">
      <c r="A140" t="s">
        <v>72</v>
      </c>
      <c r="B140" t="s">
        <v>2131</v>
      </c>
      <c r="C140" t="s">
        <v>74</v>
      </c>
      <c r="D140" t="s">
        <v>74</v>
      </c>
      <c r="E140" t="s">
        <v>74</v>
      </c>
      <c r="F140" t="s">
        <v>2131</v>
      </c>
      <c r="G140" t="s">
        <v>74</v>
      </c>
      <c r="H140" t="s">
        <v>74</v>
      </c>
      <c r="I140" t="s">
        <v>2132</v>
      </c>
      <c r="J140" t="s">
        <v>76</v>
      </c>
      <c r="K140" t="s">
        <v>74</v>
      </c>
      <c r="L140" t="s">
        <v>74</v>
      </c>
      <c r="M140" t="s">
        <v>77</v>
      </c>
      <c r="N140" t="s">
        <v>78</v>
      </c>
      <c r="O140" t="s">
        <v>74</v>
      </c>
      <c r="P140" t="s">
        <v>74</v>
      </c>
      <c r="Q140" t="s">
        <v>74</v>
      </c>
      <c r="R140" t="s">
        <v>74</v>
      </c>
      <c r="S140" t="s">
        <v>74</v>
      </c>
      <c r="T140" t="s">
        <v>74</v>
      </c>
      <c r="U140" t="s">
        <v>2133</v>
      </c>
      <c r="V140" t="s">
        <v>2134</v>
      </c>
      <c r="W140" t="s">
        <v>2135</v>
      </c>
      <c r="X140" t="s">
        <v>2136</v>
      </c>
      <c r="Y140" t="s">
        <v>2137</v>
      </c>
      <c r="Z140" t="s">
        <v>2138</v>
      </c>
      <c r="AA140" t="s">
        <v>2139</v>
      </c>
      <c r="AB140" t="s">
        <v>74</v>
      </c>
      <c r="AC140" t="s">
        <v>74</v>
      </c>
      <c r="AD140" t="s">
        <v>74</v>
      </c>
      <c r="AE140" t="s">
        <v>74</v>
      </c>
      <c r="AF140" t="s">
        <v>74</v>
      </c>
      <c r="AG140">
        <v>43</v>
      </c>
      <c r="AH140">
        <v>14</v>
      </c>
      <c r="AI140">
        <v>18</v>
      </c>
      <c r="AJ140">
        <v>1</v>
      </c>
      <c r="AK140">
        <v>5</v>
      </c>
      <c r="AL140" t="s">
        <v>87</v>
      </c>
      <c r="AM140" t="s">
        <v>88</v>
      </c>
      <c r="AN140" t="s">
        <v>89</v>
      </c>
      <c r="AO140" t="s">
        <v>90</v>
      </c>
      <c r="AP140" t="s">
        <v>91</v>
      </c>
      <c r="AQ140" t="s">
        <v>74</v>
      </c>
      <c r="AR140" t="s">
        <v>92</v>
      </c>
      <c r="AS140" t="s">
        <v>93</v>
      </c>
      <c r="AT140" t="s">
        <v>2116</v>
      </c>
      <c r="AU140">
        <v>1998</v>
      </c>
      <c r="AV140">
        <v>103</v>
      </c>
      <c r="AW140" t="s">
        <v>2127</v>
      </c>
      <c r="AX140" t="s">
        <v>74</v>
      </c>
      <c r="AY140" t="s">
        <v>74</v>
      </c>
      <c r="AZ140" t="s">
        <v>74</v>
      </c>
      <c r="BA140" t="s">
        <v>74</v>
      </c>
      <c r="BB140">
        <v>1099</v>
      </c>
      <c r="BC140">
        <v>1119</v>
      </c>
      <c r="BD140" t="s">
        <v>74</v>
      </c>
      <c r="BE140" t="s">
        <v>2140</v>
      </c>
      <c r="BF140" t="str">
        <f>HYPERLINK("http://dx.doi.org/10.1029/97JC02394","http://dx.doi.org/10.1029/97JC02394")</f>
        <v>http://dx.doi.org/10.1029/97JC02394</v>
      </c>
      <c r="BG140" t="s">
        <v>74</v>
      </c>
      <c r="BH140" t="s">
        <v>74</v>
      </c>
      <c r="BI140">
        <v>21</v>
      </c>
      <c r="BJ140" t="s">
        <v>97</v>
      </c>
      <c r="BK140" t="s">
        <v>98</v>
      </c>
      <c r="BL140" t="s">
        <v>97</v>
      </c>
      <c r="BM140" t="s">
        <v>2129</v>
      </c>
      <c r="BN140" t="s">
        <v>74</v>
      </c>
      <c r="BO140" t="s">
        <v>100</v>
      </c>
      <c r="BP140" t="s">
        <v>74</v>
      </c>
      <c r="BQ140" t="s">
        <v>74</v>
      </c>
      <c r="BR140" t="s">
        <v>101</v>
      </c>
      <c r="BS140" t="s">
        <v>2141</v>
      </c>
      <c r="BT140" t="str">
        <f>HYPERLINK("https%3A%2F%2Fwww.webofscience.com%2Fwos%2Fwoscc%2Ffull-record%2FWOS:000071415800007","View Full Record in Web of Science")</f>
        <v>View Full Record in Web of Science</v>
      </c>
    </row>
    <row r="141" spans="1:72" x14ac:dyDescent="0.15">
      <c r="A141" t="s">
        <v>72</v>
      </c>
      <c r="B141" t="s">
        <v>2142</v>
      </c>
      <c r="C141" t="s">
        <v>74</v>
      </c>
      <c r="D141" t="s">
        <v>74</v>
      </c>
      <c r="E141" t="s">
        <v>74</v>
      </c>
      <c r="F141" t="s">
        <v>2142</v>
      </c>
      <c r="G141" t="s">
        <v>74</v>
      </c>
      <c r="H141" t="s">
        <v>74</v>
      </c>
      <c r="I141" t="s">
        <v>2143</v>
      </c>
      <c r="J141" t="s">
        <v>76</v>
      </c>
      <c r="K141" t="s">
        <v>74</v>
      </c>
      <c r="L141" t="s">
        <v>74</v>
      </c>
      <c r="M141" t="s">
        <v>77</v>
      </c>
      <c r="N141" t="s">
        <v>78</v>
      </c>
      <c r="O141" t="s">
        <v>74</v>
      </c>
      <c r="P141" t="s">
        <v>74</v>
      </c>
      <c r="Q141" t="s">
        <v>74</v>
      </c>
      <c r="R141" t="s">
        <v>74</v>
      </c>
      <c r="S141" t="s">
        <v>74</v>
      </c>
      <c r="T141" t="s">
        <v>74</v>
      </c>
      <c r="U141" t="s">
        <v>2144</v>
      </c>
      <c r="V141" t="s">
        <v>2145</v>
      </c>
      <c r="W141" t="s">
        <v>2146</v>
      </c>
      <c r="X141" t="s">
        <v>2147</v>
      </c>
      <c r="Y141" t="s">
        <v>2148</v>
      </c>
      <c r="Z141" t="s">
        <v>2149</v>
      </c>
      <c r="AA141" t="s">
        <v>2150</v>
      </c>
      <c r="AB141" t="s">
        <v>2151</v>
      </c>
      <c r="AC141" t="s">
        <v>74</v>
      </c>
      <c r="AD141" t="s">
        <v>74</v>
      </c>
      <c r="AE141" t="s">
        <v>74</v>
      </c>
      <c r="AF141" t="s">
        <v>74</v>
      </c>
      <c r="AG141">
        <v>59</v>
      </c>
      <c r="AH141">
        <v>17</v>
      </c>
      <c r="AI141">
        <v>17</v>
      </c>
      <c r="AJ141">
        <v>0</v>
      </c>
      <c r="AK141">
        <v>5</v>
      </c>
      <c r="AL141" t="s">
        <v>87</v>
      </c>
      <c r="AM141" t="s">
        <v>88</v>
      </c>
      <c r="AN141" t="s">
        <v>89</v>
      </c>
      <c r="AO141" t="s">
        <v>74</v>
      </c>
      <c r="AP141" t="s">
        <v>74</v>
      </c>
      <c r="AQ141" t="s">
        <v>74</v>
      </c>
      <c r="AR141" t="s">
        <v>92</v>
      </c>
      <c r="AS141" t="s">
        <v>93</v>
      </c>
      <c r="AT141" t="s">
        <v>2116</v>
      </c>
      <c r="AU141">
        <v>1998</v>
      </c>
      <c r="AV141">
        <v>103</v>
      </c>
      <c r="AW141" t="s">
        <v>2127</v>
      </c>
      <c r="AX141" t="s">
        <v>74</v>
      </c>
      <c r="AY141" t="s">
        <v>74</v>
      </c>
      <c r="AZ141" t="s">
        <v>74</v>
      </c>
      <c r="BA141" t="s">
        <v>74</v>
      </c>
      <c r="BB141">
        <v>1343</v>
      </c>
      <c r="BC141">
        <v>1362</v>
      </c>
      <c r="BD141" t="s">
        <v>74</v>
      </c>
      <c r="BE141" t="s">
        <v>2152</v>
      </c>
      <c r="BF141" t="str">
        <f>HYPERLINK("http://dx.doi.org/10.1029/97JC00389","http://dx.doi.org/10.1029/97JC00389")</f>
        <v>http://dx.doi.org/10.1029/97JC00389</v>
      </c>
      <c r="BG141" t="s">
        <v>74</v>
      </c>
      <c r="BH141" t="s">
        <v>74</v>
      </c>
      <c r="BI141">
        <v>20</v>
      </c>
      <c r="BJ141" t="s">
        <v>97</v>
      </c>
      <c r="BK141" t="s">
        <v>98</v>
      </c>
      <c r="BL141" t="s">
        <v>97</v>
      </c>
      <c r="BM141" t="s">
        <v>2129</v>
      </c>
      <c r="BN141" t="s">
        <v>74</v>
      </c>
      <c r="BO141" t="s">
        <v>100</v>
      </c>
      <c r="BP141" t="s">
        <v>74</v>
      </c>
      <c r="BQ141" t="s">
        <v>74</v>
      </c>
      <c r="BR141" t="s">
        <v>101</v>
      </c>
      <c r="BS141" t="s">
        <v>2153</v>
      </c>
      <c r="BT141" t="str">
        <f>HYPERLINK("https%3A%2F%2Fwww.webofscience.com%2Fwos%2Fwoscc%2Ffull-record%2FWOS:000071415800021","View Full Record in Web of Science")</f>
        <v>View Full Record in Web of Science</v>
      </c>
    </row>
    <row r="142" spans="1:72" x14ac:dyDescent="0.15">
      <c r="A142" t="s">
        <v>72</v>
      </c>
      <c r="B142" t="s">
        <v>2154</v>
      </c>
      <c r="C142" t="s">
        <v>74</v>
      </c>
      <c r="D142" t="s">
        <v>74</v>
      </c>
      <c r="E142" t="s">
        <v>74</v>
      </c>
      <c r="F142" t="s">
        <v>2154</v>
      </c>
      <c r="G142" t="s">
        <v>74</v>
      </c>
      <c r="H142" t="s">
        <v>74</v>
      </c>
      <c r="I142" t="s">
        <v>2155</v>
      </c>
      <c r="J142" t="s">
        <v>1041</v>
      </c>
      <c r="K142" t="s">
        <v>74</v>
      </c>
      <c r="L142" t="s">
        <v>74</v>
      </c>
      <c r="M142" t="s">
        <v>77</v>
      </c>
      <c r="N142" t="s">
        <v>1249</v>
      </c>
      <c r="O142" t="s">
        <v>74</v>
      </c>
      <c r="P142" t="s">
        <v>74</v>
      </c>
      <c r="Q142" t="s">
        <v>74</v>
      </c>
      <c r="R142" t="s">
        <v>74</v>
      </c>
      <c r="S142" t="s">
        <v>74</v>
      </c>
      <c r="T142" t="s">
        <v>74</v>
      </c>
      <c r="U142" t="s">
        <v>2156</v>
      </c>
      <c r="V142" t="s">
        <v>2157</v>
      </c>
      <c r="W142" t="s">
        <v>1627</v>
      </c>
      <c r="X142" t="s">
        <v>1628</v>
      </c>
      <c r="Y142" t="s">
        <v>2158</v>
      </c>
      <c r="Z142" t="s">
        <v>2159</v>
      </c>
      <c r="AA142" t="s">
        <v>74</v>
      </c>
      <c r="AB142" t="s">
        <v>74</v>
      </c>
      <c r="AC142" t="s">
        <v>74</v>
      </c>
      <c r="AD142" t="s">
        <v>74</v>
      </c>
      <c r="AE142" t="s">
        <v>74</v>
      </c>
      <c r="AF142" t="s">
        <v>74</v>
      </c>
      <c r="AG142">
        <v>74</v>
      </c>
      <c r="AH142">
        <v>78</v>
      </c>
      <c r="AI142">
        <v>81</v>
      </c>
      <c r="AJ142">
        <v>1</v>
      </c>
      <c r="AK142">
        <v>5</v>
      </c>
      <c r="AL142" t="s">
        <v>707</v>
      </c>
      <c r="AM142" t="s">
        <v>88</v>
      </c>
      <c r="AN142" t="s">
        <v>708</v>
      </c>
      <c r="AO142" t="s">
        <v>1048</v>
      </c>
      <c r="AP142" t="s">
        <v>74</v>
      </c>
      <c r="AQ142" t="s">
        <v>74</v>
      </c>
      <c r="AR142" t="s">
        <v>1049</v>
      </c>
      <c r="AS142" t="s">
        <v>1050</v>
      </c>
      <c r="AT142" t="s">
        <v>2160</v>
      </c>
      <c r="AU142">
        <v>1998</v>
      </c>
      <c r="AV142">
        <v>102</v>
      </c>
      <c r="AW142">
        <v>2</v>
      </c>
      <c r="AX142" t="s">
        <v>74</v>
      </c>
      <c r="AY142" t="s">
        <v>74</v>
      </c>
      <c r="AZ142" t="s">
        <v>74</v>
      </c>
      <c r="BA142" t="s">
        <v>74</v>
      </c>
      <c r="BB142">
        <v>309</v>
      </c>
      <c r="BC142">
        <v>314</v>
      </c>
      <c r="BD142" t="s">
        <v>74</v>
      </c>
      <c r="BE142" t="s">
        <v>2161</v>
      </c>
      <c r="BF142" t="str">
        <f>HYPERLINK("http://dx.doi.org/10.1021/jp970466c","http://dx.doi.org/10.1021/jp970466c")</f>
        <v>http://dx.doi.org/10.1021/jp970466c</v>
      </c>
      <c r="BG142" t="s">
        <v>74</v>
      </c>
      <c r="BH142" t="s">
        <v>74</v>
      </c>
      <c r="BI142">
        <v>6</v>
      </c>
      <c r="BJ142" t="s">
        <v>1052</v>
      </c>
      <c r="BK142" t="s">
        <v>98</v>
      </c>
      <c r="BL142" t="s">
        <v>1053</v>
      </c>
      <c r="BM142" t="s">
        <v>2162</v>
      </c>
      <c r="BN142" t="s">
        <v>74</v>
      </c>
      <c r="BO142" t="s">
        <v>74</v>
      </c>
      <c r="BP142" t="s">
        <v>74</v>
      </c>
      <c r="BQ142" t="s">
        <v>74</v>
      </c>
      <c r="BR142" t="s">
        <v>101</v>
      </c>
      <c r="BS142" t="s">
        <v>2163</v>
      </c>
      <c r="BT142" t="str">
        <f>HYPERLINK("https%3A%2F%2Fwww.webofscience.com%2Fwos%2Fwoscc%2Ffull-record%2FWOS:000071542200001","View Full Record in Web of Science")</f>
        <v>View Full Record in Web of Science</v>
      </c>
    </row>
    <row r="143" spans="1:72" x14ac:dyDescent="0.15">
      <c r="A143" t="s">
        <v>72</v>
      </c>
      <c r="B143" t="s">
        <v>2164</v>
      </c>
      <c r="C143" t="s">
        <v>74</v>
      </c>
      <c r="D143" t="s">
        <v>74</v>
      </c>
      <c r="E143" t="s">
        <v>74</v>
      </c>
      <c r="F143" t="s">
        <v>2164</v>
      </c>
      <c r="G143" t="s">
        <v>74</v>
      </c>
      <c r="H143" t="s">
        <v>74</v>
      </c>
      <c r="I143" t="s">
        <v>2165</v>
      </c>
      <c r="J143" t="s">
        <v>1041</v>
      </c>
      <c r="K143" t="s">
        <v>74</v>
      </c>
      <c r="L143" t="s">
        <v>74</v>
      </c>
      <c r="M143" t="s">
        <v>77</v>
      </c>
      <c r="N143" t="s">
        <v>78</v>
      </c>
      <c r="O143" t="s">
        <v>74</v>
      </c>
      <c r="P143" t="s">
        <v>74</v>
      </c>
      <c r="Q143" t="s">
        <v>74</v>
      </c>
      <c r="R143" t="s">
        <v>74</v>
      </c>
      <c r="S143" t="s">
        <v>74</v>
      </c>
      <c r="T143" t="s">
        <v>74</v>
      </c>
      <c r="U143" t="s">
        <v>2166</v>
      </c>
      <c r="V143" t="s">
        <v>2167</v>
      </c>
      <c r="W143" t="s">
        <v>2168</v>
      </c>
      <c r="X143" t="s">
        <v>2169</v>
      </c>
      <c r="Y143" t="s">
        <v>2170</v>
      </c>
      <c r="Z143" t="s">
        <v>74</v>
      </c>
      <c r="AA143" t="s">
        <v>2171</v>
      </c>
      <c r="AB143" t="s">
        <v>2172</v>
      </c>
      <c r="AC143" t="s">
        <v>74</v>
      </c>
      <c r="AD143" t="s">
        <v>74</v>
      </c>
      <c r="AE143" t="s">
        <v>74</v>
      </c>
      <c r="AF143" t="s">
        <v>74</v>
      </c>
      <c r="AG143">
        <v>38</v>
      </c>
      <c r="AH143">
        <v>15</v>
      </c>
      <c r="AI143">
        <v>15</v>
      </c>
      <c r="AJ143">
        <v>0</v>
      </c>
      <c r="AK143">
        <v>10</v>
      </c>
      <c r="AL143" t="s">
        <v>707</v>
      </c>
      <c r="AM143" t="s">
        <v>88</v>
      </c>
      <c r="AN143" t="s">
        <v>708</v>
      </c>
      <c r="AO143" t="s">
        <v>1048</v>
      </c>
      <c r="AP143" t="s">
        <v>74</v>
      </c>
      <c r="AQ143" t="s">
        <v>74</v>
      </c>
      <c r="AR143" t="s">
        <v>1049</v>
      </c>
      <c r="AS143" t="s">
        <v>1050</v>
      </c>
      <c r="AT143" t="s">
        <v>2160</v>
      </c>
      <c r="AU143">
        <v>1998</v>
      </c>
      <c r="AV143">
        <v>102</v>
      </c>
      <c r="AW143">
        <v>2</v>
      </c>
      <c r="AX143" t="s">
        <v>74</v>
      </c>
      <c r="AY143" t="s">
        <v>74</v>
      </c>
      <c r="AZ143" t="s">
        <v>74</v>
      </c>
      <c r="BA143" t="s">
        <v>74</v>
      </c>
      <c r="BB143">
        <v>422</v>
      </c>
      <c r="BC143">
        <v>425</v>
      </c>
      <c r="BD143" t="s">
        <v>74</v>
      </c>
      <c r="BE143" t="s">
        <v>2173</v>
      </c>
      <c r="BF143" t="str">
        <f>HYPERLINK("http://dx.doi.org/10.1021/jp972623d","http://dx.doi.org/10.1021/jp972623d")</f>
        <v>http://dx.doi.org/10.1021/jp972623d</v>
      </c>
      <c r="BG143" t="s">
        <v>74</v>
      </c>
      <c r="BH143" t="s">
        <v>74</v>
      </c>
      <c r="BI143">
        <v>4</v>
      </c>
      <c r="BJ143" t="s">
        <v>1052</v>
      </c>
      <c r="BK143" t="s">
        <v>98</v>
      </c>
      <c r="BL143" t="s">
        <v>1053</v>
      </c>
      <c r="BM143" t="s">
        <v>2162</v>
      </c>
      <c r="BN143" t="s">
        <v>74</v>
      </c>
      <c r="BO143" t="s">
        <v>74</v>
      </c>
      <c r="BP143" t="s">
        <v>74</v>
      </c>
      <c r="BQ143" t="s">
        <v>74</v>
      </c>
      <c r="BR143" t="s">
        <v>101</v>
      </c>
      <c r="BS143" t="s">
        <v>2174</v>
      </c>
      <c r="BT143" t="str">
        <f>HYPERLINK("https%3A%2F%2Fwww.webofscience.com%2Fwos%2Fwoscc%2Ffull-record%2FWOS:000071542200013","View Full Record in Web of Science")</f>
        <v>View Full Record in Web of Science</v>
      </c>
    </row>
    <row r="144" spans="1:72" x14ac:dyDescent="0.15">
      <c r="A144" t="s">
        <v>2175</v>
      </c>
      <c r="B144" t="s">
        <v>2176</v>
      </c>
      <c r="C144" t="s">
        <v>74</v>
      </c>
      <c r="D144" t="s">
        <v>74</v>
      </c>
      <c r="E144" t="s">
        <v>2177</v>
      </c>
      <c r="F144" t="s">
        <v>2176</v>
      </c>
      <c r="G144" t="s">
        <v>74</v>
      </c>
      <c r="H144" t="s">
        <v>74</v>
      </c>
      <c r="I144" t="s">
        <v>2178</v>
      </c>
      <c r="J144" t="s">
        <v>2179</v>
      </c>
      <c r="K144" t="s">
        <v>74</v>
      </c>
      <c r="L144" t="s">
        <v>74</v>
      </c>
      <c r="M144" t="s">
        <v>77</v>
      </c>
      <c r="N144" t="s">
        <v>2180</v>
      </c>
      <c r="O144" t="s">
        <v>2181</v>
      </c>
      <c r="P144" t="s">
        <v>2182</v>
      </c>
      <c r="Q144" t="s">
        <v>2183</v>
      </c>
      <c r="R144" t="s">
        <v>74</v>
      </c>
      <c r="S144" t="s">
        <v>74</v>
      </c>
      <c r="T144" t="s">
        <v>74</v>
      </c>
      <c r="U144" t="s">
        <v>74</v>
      </c>
      <c r="V144" t="s">
        <v>2184</v>
      </c>
      <c r="W144" t="s">
        <v>758</v>
      </c>
      <c r="X144" t="s">
        <v>322</v>
      </c>
      <c r="Y144" t="s">
        <v>2185</v>
      </c>
      <c r="Z144" t="s">
        <v>74</v>
      </c>
      <c r="AA144" t="s">
        <v>1587</v>
      </c>
      <c r="AB144" t="s">
        <v>1588</v>
      </c>
      <c r="AC144" t="s">
        <v>74</v>
      </c>
      <c r="AD144" t="s">
        <v>74</v>
      </c>
      <c r="AE144" t="s">
        <v>74</v>
      </c>
      <c r="AF144" t="s">
        <v>74</v>
      </c>
      <c r="AG144">
        <v>0</v>
      </c>
      <c r="AH144">
        <v>0</v>
      </c>
      <c r="AI144">
        <v>0</v>
      </c>
      <c r="AJ144">
        <v>0</v>
      </c>
      <c r="AK144">
        <v>0</v>
      </c>
      <c r="AL144" t="s">
        <v>2177</v>
      </c>
      <c r="AM144" t="s">
        <v>244</v>
      </c>
      <c r="AN144" t="s">
        <v>2186</v>
      </c>
      <c r="AO144" t="s">
        <v>74</v>
      </c>
      <c r="AP144" t="s">
        <v>74</v>
      </c>
      <c r="AQ144" t="s">
        <v>2187</v>
      </c>
      <c r="AR144" t="s">
        <v>74</v>
      </c>
      <c r="AS144" t="s">
        <v>74</v>
      </c>
      <c r="AT144" t="s">
        <v>74</v>
      </c>
      <c r="AU144">
        <v>1998</v>
      </c>
      <c r="AV144" t="s">
        <v>74</v>
      </c>
      <c r="AW144" t="s">
        <v>74</v>
      </c>
      <c r="AX144" t="s">
        <v>74</v>
      </c>
      <c r="AY144" t="s">
        <v>74</v>
      </c>
      <c r="AZ144" t="s">
        <v>74</v>
      </c>
      <c r="BA144" t="s">
        <v>74</v>
      </c>
      <c r="BB144">
        <v>282</v>
      </c>
      <c r="BC144">
        <v>284</v>
      </c>
      <c r="BD144" t="s">
        <v>74</v>
      </c>
      <c r="BE144" t="s">
        <v>74</v>
      </c>
      <c r="BF144" t="s">
        <v>74</v>
      </c>
      <c r="BG144" t="s">
        <v>74</v>
      </c>
      <c r="BH144" t="s">
        <v>74</v>
      </c>
      <c r="BI144">
        <v>3</v>
      </c>
      <c r="BJ144" t="s">
        <v>2188</v>
      </c>
      <c r="BK144" t="s">
        <v>2189</v>
      </c>
      <c r="BL144" t="s">
        <v>2190</v>
      </c>
      <c r="BM144" t="s">
        <v>2191</v>
      </c>
      <c r="BN144" t="s">
        <v>74</v>
      </c>
      <c r="BO144" t="s">
        <v>74</v>
      </c>
      <c r="BP144" t="s">
        <v>74</v>
      </c>
      <c r="BQ144" t="s">
        <v>74</v>
      </c>
      <c r="BR144" t="s">
        <v>101</v>
      </c>
      <c r="BS144" t="s">
        <v>2192</v>
      </c>
      <c r="BT144" t="str">
        <f>HYPERLINK("https%3A%2F%2Fwww.webofscience.com%2Fwos%2Fwoscc%2Ffull-record%2FWOS:000075788400073","View Full Record in Web of Science")</f>
        <v>View Full Record in Web of Science</v>
      </c>
    </row>
    <row r="145" spans="1:72" x14ac:dyDescent="0.15">
      <c r="A145" t="s">
        <v>2175</v>
      </c>
      <c r="B145" t="s">
        <v>2193</v>
      </c>
      <c r="C145" t="s">
        <v>74</v>
      </c>
      <c r="D145" t="s">
        <v>74</v>
      </c>
      <c r="E145" t="s">
        <v>2194</v>
      </c>
      <c r="F145" t="s">
        <v>2193</v>
      </c>
      <c r="G145" t="s">
        <v>74</v>
      </c>
      <c r="H145" t="s">
        <v>74</v>
      </c>
      <c r="I145" t="s">
        <v>2195</v>
      </c>
      <c r="J145" t="s">
        <v>2196</v>
      </c>
      <c r="K145" t="s">
        <v>74</v>
      </c>
      <c r="L145" t="s">
        <v>74</v>
      </c>
      <c r="M145" t="s">
        <v>77</v>
      </c>
      <c r="N145" t="s">
        <v>2180</v>
      </c>
      <c r="O145" t="s">
        <v>2197</v>
      </c>
      <c r="P145" t="s">
        <v>2198</v>
      </c>
      <c r="Q145" t="s">
        <v>2199</v>
      </c>
      <c r="R145" t="s">
        <v>74</v>
      </c>
      <c r="S145" t="s">
        <v>74</v>
      </c>
      <c r="T145" t="s">
        <v>74</v>
      </c>
      <c r="U145" t="s">
        <v>74</v>
      </c>
      <c r="V145" t="s">
        <v>2200</v>
      </c>
      <c r="W145" t="s">
        <v>2201</v>
      </c>
      <c r="X145" t="s">
        <v>74</v>
      </c>
      <c r="Y145" t="s">
        <v>2202</v>
      </c>
      <c r="Z145" t="s">
        <v>74</v>
      </c>
      <c r="AA145" t="s">
        <v>74</v>
      </c>
      <c r="AB145" t="s">
        <v>74</v>
      </c>
      <c r="AC145" t="s">
        <v>74</v>
      </c>
      <c r="AD145" t="s">
        <v>74</v>
      </c>
      <c r="AE145" t="s">
        <v>74</v>
      </c>
      <c r="AF145" t="s">
        <v>74</v>
      </c>
      <c r="AG145">
        <v>3</v>
      </c>
      <c r="AH145">
        <v>0</v>
      </c>
      <c r="AI145">
        <v>0</v>
      </c>
      <c r="AJ145">
        <v>0</v>
      </c>
      <c r="AK145">
        <v>1</v>
      </c>
      <c r="AL145" t="s">
        <v>2203</v>
      </c>
      <c r="AM145" t="s">
        <v>2204</v>
      </c>
      <c r="AN145" t="s">
        <v>2205</v>
      </c>
      <c r="AO145" t="s">
        <v>74</v>
      </c>
      <c r="AP145" t="s">
        <v>74</v>
      </c>
      <c r="AQ145" t="s">
        <v>2206</v>
      </c>
      <c r="AR145" t="s">
        <v>74</v>
      </c>
      <c r="AS145" t="s">
        <v>74</v>
      </c>
      <c r="AT145" t="s">
        <v>74</v>
      </c>
      <c r="AU145">
        <v>1998</v>
      </c>
      <c r="AV145" t="s">
        <v>74</v>
      </c>
      <c r="AW145" t="s">
        <v>74</v>
      </c>
      <c r="AX145" t="s">
        <v>74</v>
      </c>
      <c r="AY145" t="s">
        <v>74</v>
      </c>
      <c r="AZ145" t="s">
        <v>74</v>
      </c>
      <c r="BA145" t="s">
        <v>74</v>
      </c>
      <c r="BB145">
        <v>258</v>
      </c>
      <c r="BC145">
        <v>261</v>
      </c>
      <c r="BD145" t="s">
        <v>74</v>
      </c>
      <c r="BE145" t="s">
        <v>74</v>
      </c>
      <c r="BF145" t="s">
        <v>74</v>
      </c>
      <c r="BG145" t="s">
        <v>74</v>
      </c>
      <c r="BH145" t="s">
        <v>74</v>
      </c>
      <c r="BI145">
        <v>4</v>
      </c>
      <c r="BJ145" t="s">
        <v>2207</v>
      </c>
      <c r="BK145" t="s">
        <v>2189</v>
      </c>
      <c r="BL145" t="s">
        <v>2208</v>
      </c>
      <c r="BM145" t="s">
        <v>2209</v>
      </c>
      <c r="BN145" t="s">
        <v>74</v>
      </c>
      <c r="BO145" t="s">
        <v>74</v>
      </c>
      <c r="BP145" t="s">
        <v>74</v>
      </c>
      <c r="BQ145" t="s">
        <v>74</v>
      </c>
      <c r="BR145" t="s">
        <v>101</v>
      </c>
      <c r="BS145" t="s">
        <v>2210</v>
      </c>
      <c r="BT145" t="str">
        <f>HYPERLINK("https%3A%2F%2Fwww.webofscience.com%2Fwos%2Fwoscc%2Ffull-record%2FWOS:000078443800064","View Full Record in Web of Science")</f>
        <v>View Full Record in Web of Science</v>
      </c>
    </row>
    <row r="146" spans="1:72" x14ac:dyDescent="0.15">
      <c r="A146" t="s">
        <v>2175</v>
      </c>
      <c r="B146" t="s">
        <v>2211</v>
      </c>
      <c r="C146" t="s">
        <v>74</v>
      </c>
      <c r="D146" t="s">
        <v>2212</v>
      </c>
      <c r="E146" t="s">
        <v>74</v>
      </c>
      <c r="F146" t="s">
        <v>2211</v>
      </c>
      <c r="G146" t="s">
        <v>74</v>
      </c>
      <c r="H146" t="s">
        <v>74</v>
      </c>
      <c r="I146" t="s">
        <v>2213</v>
      </c>
      <c r="J146" t="s">
        <v>2214</v>
      </c>
      <c r="K146" t="s">
        <v>2215</v>
      </c>
      <c r="L146" t="s">
        <v>74</v>
      </c>
      <c r="M146" t="s">
        <v>77</v>
      </c>
      <c r="N146" t="s">
        <v>2180</v>
      </c>
      <c r="O146" t="s">
        <v>2216</v>
      </c>
      <c r="P146" t="s">
        <v>2217</v>
      </c>
      <c r="Q146" t="s">
        <v>2218</v>
      </c>
      <c r="R146" t="s">
        <v>74</v>
      </c>
      <c r="S146" t="s">
        <v>74</v>
      </c>
      <c r="T146" t="s">
        <v>74</v>
      </c>
      <c r="U146" t="s">
        <v>74</v>
      </c>
      <c r="V146" t="s">
        <v>2219</v>
      </c>
      <c r="W146" t="s">
        <v>2220</v>
      </c>
      <c r="X146" t="s">
        <v>2221</v>
      </c>
      <c r="Y146" t="s">
        <v>2222</v>
      </c>
      <c r="Z146" t="s">
        <v>74</v>
      </c>
      <c r="AA146" t="s">
        <v>2223</v>
      </c>
      <c r="AB146" t="s">
        <v>2224</v>
      </c>
      <c r="AC146" t="s">
        <v>74</v>
      </c>
      <c r="AD146" t="s">
        <v>74</v>
      </c>
      <c r="AE146" t="s">
        <v>74</v>
      </c>
      <c r="AF146" t="s">
        <v>74</v>
      </c>
      <c r="AG146">
        <v>9</v>
      </c>
      <c r="AH146">
        <v>0</v>
      </c>
      <c r="AI146">
        <v>0</v>
      </c>
      <c r="AJ146">
        <v>0</v>
      </c>
      <c r="AK146">
        <v>1</v>
      </c>
      <c r="AL146" t="s">
        <v>2225</v>
      </c>
      <c r="AM146" t="s">
        <v>2226</v>
      </c>
      <c r="AN146" t="s">
        <v>2227</v>
      </c>
      <c r="AO146" t="s">
        <v>74</v>
      </c>
      <c r="AP146" t="s">
        <v>74</v>
      </c>
      <c r="AQ146" t="s">
        <v>2228</v>
      </c>
      <c r="AR146" t="s">
        <v>2229</v>
      </c>
      <c r="AS146" t="s">
        <v>74</v>
      </c>
      <c r="AT146" t="s">
        <v>74</v>
      </c>
      <c r="AU146">
        <v>1998</v>
      </c>
      <c r="AV146">
        <v>62</v>
      </c>
      <c r="AW146" t="s">
        <v>74</v>
      </c>
      <c r="AX146" t="s">
        <v>74</v>
      </c>
      <c r="AY146" t="s">
        <v>74</v>
      </c>
      <c r="AZ146" t="s">
        <v>74</v>
      </c>
      <c r="BA146" t="s">
        <v>74</v>
      </c>
      <c r="BB146">
        <v>3</v>
      </c>
      <c r="BC146">
        <v>18</v>
      </c>
      <c r="BD146" t="s">
        <v>74</v>
      </c>
      <c r="BE146" t="s">
        <v>74</v>
      </c>
      <c r="BF146" t="s">
        <v>74</v>
      </c>
      <c r="BG146" t="s">
        <v>74</v>
      </c>
      <c r="BH146" t="s">
        <v>74</v>
      </c>
      <c r="BI146">
        <v>16</v>
      </c>
      <c r="BJ146" t="s">
        <v>614</v>
      </c>
      <c r="BK146" t="s">
        <v>2189</v>
      </c>
      <c r="BL146" t="s">
        <v>614</v>
      </c>
      <c r="BM146" t="s">
        <v>2230</v>
      </c>
      <c r="BN146" t="s">
        <v>74</v>
      </c>
      <c r="BO146" t="s">
        <v>74</v>
      </c>
      <c r="BP146" t="s">
        <v>74</v>
      </c>
      <c r="BQ146" t="s">
        <v>74</v>
      </c>
      <c r="BR146" t="s">
        <v>101</v>
      </c>
      <c r="BS146" t="s">
        <v>2231</v>
      </c>
      <c r="BT146" t="str">
        <f>HYPERLINK("https%3A%2F%2Fwww.webofscience.com%2Fwos%2Fwoscc%2Ffull-record%2FWOS:000079334200003","View Full Record in Web of Science")</f>
        <v>View Full Record in Web of Science</v>
      </c>
    </row>
    <row r="147" spans="1:72" x14ac:dyDescent="0.15">
      <c r="A147" t="s">
        <v>2175</v>
      </c>
      <c r="B147" t="s">
        <v>2232</v>
      </c>
      <c r="C147" t="s">
        <v>74</v>
      </c>
      <c r="D147" t="s">
        <v>2212</v>
      </c>
      <c r="E147" t="s">
        <v>74</v>
      </c>
      <c r="F147" t="s">
        <v>2232</v>
      </c>
      <c r="G147" t="s">
        <v>74</v>
      </c>
      <c r="H147" t="s">
        <v>74</v>
      </c>
      <c r="I147" t="s">
        <v>2233</v>
      </c>
      <c r="J147" t="s">
        <v>2214</v>
      </c>
      <c r="K147" t="s">
        <v>2215</v>
      </c>
      <c r="L147" t="s">
        <v>74</v>
      </c>
      <c r="M147" t="s">
        <v>77</v>
      </c>
      <c r="N147" t="s">
        <v>2180</v>
      </c>
      <c r="O147" t="s">
        <v>2216</v>
      </c>
      <c r="P147" t="s">
        <v>2217</v>
      </c>
      <c r="Q147" t="s">
        <v>2218</v>
      </c>
      <c r="R147" t="s">
        <v>74</v>
      </c>
      <c r="S147" t="s">
        <v>74</v>
      </c>
      <c r="T147" t="s">
        <v>74</v>
      </c>
      <c r="U147" t="s">
        <v>74</v>
      </c>
      <c r="V147" t="s">
        <v>74</v>
      </c>
      <c r="W147" t="s">
        <v>2234</v>
      </c>
      <c r="X147" t="s">
        <v>2235</v>
      </c>
      <c r="Y147" t="s">
        <v>2236</v>
      </c>
      <c r="Z147" t="s">
        <v>74</v>
      </c>
      <c r="AA147" t="s">
        <v>74</v>
      </c>
      <c r="AB147" t="s">
        <v>74</v>
      </c>
      <c r="AC147" t="s">
        <v>74</v>
      </c>
      <c r="AD147" t="s">
        <v>74</v>
      </c>
      <c r="AE147" t="s">
        <v>74</v>
      </c>
      <c r="AF147" t="s">
        <v>74</v>
      </c>
      <c r="AG147">
        <v>0</v>
      </c>
      <c r="AH147">
        <v>0</v>
      </c>
      <c r="AI147">
        <v>0</v>
      </c>
      <c r="AJ147">
        <v>0</v>
      </c>
      <c r="AK147">
        <v>0</v>
      </c>
      <c r="AL147" t="s">
        <v>2225</v>
      </c>
      <c r="AM147" t="s">
        <v>2226</v>
      </c>
      <c r="AN147" t="s">
        <v>2227</v>
      </c>
      <c r="AO147" t="s">
        <v>74</v>
      </c>
      <c r="AP147" t="s">
        <v>74</v>
      </c>
      <c r="AQ147" t="s">
        <v>2228</v>
      </c>
      <c r="AR147" t="s">
        <v>2229</v>
      </c>
      <c r="AS147" t="s">
        <v>74</v>
      </c>
      <c r="AT147" t="s">
        <v>74</v>
      </c>
      <c r="AU147">
        <v>1998</v>
      </c>
      <c r="AV147">
        <v>62</v>
      </c>
      <c r="AW147" t="s">
        <v>74</v>
      </c>
      <c r="AX147" t="s">
        <v>74</v>
      </c>
      <c r="AY147" t="s">
        <v>74</v>
      </c>
      <c r="AZ147" t="s">
        <v>74</v>
      </c>
      <c r="BA147" t="s">
        <v>74</v>
      </c>
      <c r="BB147" t="s">
        <v>2237</v>
      </c>
      <c r="BC147" t="s">
        <v>2238</v>
      </c>
      <c r="BD147" t="s">
        <v>74</v>
      </c>
      <c r="BE147" t="s">
        <v>74</v>
      </c>
      <c r="BF147" t="s">
        <v>74</v>
      </c>
      <c r="BG147" t="s">
        <v>74</v>
      </c>
      <c r="BH147" t="s">
        <v>74</v>
      </c>
      <c r="BI147">
        <v>16</v>
      </c>
      <c r="BJ147" t="s">
        <v>614</v>
      </c>
      <c r="BK147" t="s">
        <v>2189</v>
      </c>
      <c r="BL147" t="s">
        <v>614</v>
      </c>
      <c r="BM147" t="s">
        <v>2230</v>
      </c>
      <c r="BN147" t="s">
        <v>74</v>
      </c>
      <c r="BO147" t="s">
        <v>74</v>
      </c>
      <c r="BP147" t="s">
        <v>74</v>
      </c>
      <c r="BQ147" t="s">
        <v>74</v>
      </c>
      <c r="BR147" t="s">
        <v>101</v>
      </c>
      <c r="BS147" t="s">
        <v>2239</v>
      </c>
      <c r="BT147" t="str">
        <f>HYPERLINK("https%3A%2F%2Fwww.webofscience.com%2Fwos%2Fwoscc%2Ffull-record%2FWOS:000079334200001","View Full Record in Web of Science")</f>
        <v>View Full Record in Web of Science</v>
      </c>
    </row>
    <row r="148" spans="1:72" x14ac:dyDescent="0.15">
      <c r="A148" t="s">
        <v>2175</v>
      </c>
      <c r="B148" t="s">
        <v>2240</v>
      </c>
      <c r="C148" t="s">
        <v>74</v>
      </c>
      <c r="D148" t="s">
        <v>2212</v>
      </c>
      <c r="E148" t="s">
        <v>74</v>
      </c>
      <c r="F148" t="s">
        <v>2240</v>
      </c>
      <c r="G148" t="s">
        <v>74</v>
      </c>
      <c r="H148" t="s">
        <v>74</v>
      </c>
      <c r="I148" t="s">
        <v>2241</v>
      </c>
      <c r="J148" t="s">
        <v>2214</v>
      </c>
      <c r="K148" t="s">
        <v>2215</v>
      </c>
      <c r="L148" t="s">
        <v>74</v>
      </c>
      <c r="M148" t="s">
        <v>77</v>
      </c>
      <c r="N148" t="s">
        <v>2180</v>
      </c>
      <c r="O148" t="s">
        <v>2216</v>
      </c>
      <c r="P148" t="s">
        <v>2217</v>
      </c>
      <c r="Q148" t="s">
        <v>2218</v>
      </c>
      <c r="R148" t="s">
        <v>74</v>
      </c>
      <c r="S148" t="s">
        <v>74</v>
      </c>
      <c r="T148" t="s">
        <v>74</v>
      </c>
      <c r="U148" t="s">
        <v>2242</v>
      </c>
      <c r="V148" t="s">
        <v>2243</v>
      </c>
      <c r="W148" t="s">
        <v>2244</v>
      </c>
      <c r="X148" t="s">
        <v>2221</v>
      </c>
      <c r="Y148" t="s">
        <v>2245</v>
      </c>
      <c r="Z148" t="s">
        <v>74</v>
      </c>
      <c r="AA148" t="s">
        <v>2246</v>
      </c>
      <c r="AB148" t="s">
        <v>2224</v>
      </c>
      <c r="AC148" t="s">
        <v>74</v>
      </c>
      <c r="AD148" t="s">
        <v>74</v>
      </c>
      <c r="AE148" t="s">
        <v>74</v>
      </c>
      <c r="AF148" t="s">
        <v>74</v>
      </c>
      <c r="AG148">
        <v>10</v>
      </c>
      <c r="AH148">
        <v>1</v>
      </c>
      <c r="AI148">
        <v>1</v>
      </c>
      <c r="AJ148">
        <v>0</v>
      </c>
      <c r="AK148">
        <v>3</v>
      </c>
      <c r="AL148" t="s">
        <v>2225</v>
      </c>
      <c r="AM148" t="s">
        <v>2226</v>
      </c>
      <c r="AN148" t="s">
        <v>2227</v>
      </c>
      <c r="AO148" t="s">
        <v>74</v>
      </c>
      <c r="AP148" t="s">
        <v>74</v>
      </c>
      <c r="AQ148" t="s">
        <v>2228</v>
      </c>
      <c r="AR148" t="s">
        <v>2229</v>
      </c>
      <c r="AS148" t="s">
        <v>74</v>
      </c>
      <c r="AT148" t="s">
        <v>74</v>
      </c>
      <c r="AU148">
        <v>1998</v>
      </c>
      <c r="AV148">
        <v>62</v>
      </c>
      <c r="AW148" t="s">
        <v>74</v>
      </c>
      <c r="AX148" t="s">
        <v>74</v>
      </c>
      <c r="AY148" t="s">
        <v>74</v>
      </c>
      <c r="AZ148" t="s">
        <v>74</v>
      </c>
      <c r="BA148" t="s">
        <v>74</v>
      </c>
      <c r="BB148">
        <v>19</v>
      </c>
      <c r="BC148">
        <v>33</v>
      </c>
      <c r="BD148" t="s">
        <v>74</v>
      </c>
      <c r="BE148" t="s">
        <v>74</v>
      </c>
      <c r="BF148" t="s">
        <v>74</v>
      </c>
      <c r="BG148" t="s">
        <v>74</v>
      </c>
      <c r="BH148" t="s">
        <v>74</v>
      </c>
      <c r="BI148">
        <v>15</v>
      </c>
      <c r="BJ148" t="s">
        <v>614</v>
      </c>
      <c r="BK148" t="s">
        <v>2189</v>
      </c>
      <c r="BL148" t="s">
        <v>614</v>
      </c>
      <c r="BM148" t="s">
        <v>2230</v>
      </c>
      <c r="BN148" t="s">
        <v>74</v>
      </c>
      <c r="BO148" t="s">
        <v>74</v>
      </c>
      <c r="BP148" t="s">
        <v>74</v>
      </c>
      <c r="BQ148" t="s">
        <v>74</v>
      </c>
      <c r="BR148" t="s">
        <v>101</v>
      </c>
      <c r="BS148" t="s">
        <v>2247</v>
      </c>
      <c r="BT148" t="str">
        <f>HYPERLINK("https%3A%2F%2Fwww.webofscience.com%2Fwos%2Fwoscc%2Ffull-record%2FWOS:000079334200004","View Full Record in Web of Science")</f>
        <v>View Full Record in Web of Science</v>
      </c>
    </row>
    <row r="149" spans="1:72" x14ac:dyDescent="0.15">
      <c r="A149" t="s">
        <v>2175</v>
      </c>
      <c r="B149" t="s">
        <v>2248</v>
      </c>
      <c r="C149" t="s">
        <v>74</v>
      </c>
      <c r="D149" t="s">
        <v>2212</v>
      </c>
      <c r="E149" t="s">
        <v>74</v>
      </c>
      <c r="F149" t="s">
        <v>2248</v>
      </c>
      <c r="G149" t="s">
        <v>74</v>
      </c>
      <c r="H149" t="s">
        <v>74</v>
      </c>
      <c r="I149" t="s">
        <v>2249</v>
      </c>
      <c r="J149" t="s">
        <v>2214</v>
      </c>
      <c r="K149" t="s">
        <v>2215</v>
      </c>
      <c r="L149" t="s">
        <v>74</v>
      </c>
      <c r="M149" t="s">
        <v>77</v>
      </c>
      <c r="N149" t="s">
        <v>2180</v>
      </c>
      <c r="O149" t="s">
        <v>2216</v>
      </c>
      <c r="P149" t="s">
        <v>2217</v>
      </c>
      <c r="Q149" t="s">
        <v>2218</v>
      </c>
      <c r="R149" t="s">
        <v>74</v>
      </c>
      <c r="S149" t="s">
        <v>74</v>
      </c>
      <c r="T149" t="s">
        <v>74</v>
      </c>
      <c r="U149" t="s">
        <v>74</v>
      </c>
      <c r="V149" t="s">
        <v>2250</v>
      </c>
      <c r="W149" t="s">
        <v>2220</v>
      </c>
      <c r="X149" t="s">
        <v>2221</v>
      </c>
      <c r="Y149" t="s">
        <v>2251</v>
      </c>
      <c r="Z149" t="s">
        <v>74</v>
      </c>
      <c r="AA149" t="s">
        <v>74</v>
      </c>
      <c r="AB149" t="s">
        <v>74</v>
      </c>
      <c r="AC149" t="s">
        <v>74</v>
      </c>
      <c r="AD149" t="s">
        <v>74</v>
      </c>
      <c r="AE149" t="s">
        <v>74</v>
      </c>
      <c r="AF149" t="s">
        <v>74</v>
      </c>
      <c r="AG149">
        <v>0</v>
      </c>
      <c r="AH149">
        <v>0</v>
      </c>
      <c r="AI149">
        <v>0</v>
      </c>
      <c r="AJ149">
        <v>0</v>
      </c>
      <c r="AK149">
        <v>0</v>
      </c>
      <c r="AL149" t="s">
        <v>2225</v>
      </c>
      <c r="AM149" t="s">
        <v>2226</v>
      </c>
      <c r="AN149" t="s">
        <v>2227</v>
      </c>
      <c r="AO149" t="s">
        <v>74</v>
      </c>
      <c r="AP149" t="s">
        <v>74</v>
      </c>
      <c r="AQ149" t="s">
        <v>2228</v>
      </c>
      <c r="AR149" t="s">
        <v>2229</v>
      </c>
      <c r="AS149" t="s">
        <v>74</v>
      </c>
      <c r="AT149" t="s">
        <v>74</v>
      </c>
      <c r="AU149">
        <v>1998</v>
      </c>
      <c r="AV149">
        <v>62</v>
      </c>
      <c r="AW149" t="s">
        <v>74</v>
      </c>
      <c r="AX149" t="s">
        <v>74</v>
      </c>
      <c r="AY149" t="s">
        <v>74</v>
      </c>
      <c r="AZ149" t="s">
        <v>74</v>
      </c>
      <c r="BA149" t="s">
        <v>74</v>
      </c>
      <c r="BB149" t="s">
        <v>2252</v>
      </c>
      <c r="BC149" t="s">
        <v>2253</v>
      </c>
      <c r="BD149" t="s">
        <v>74</v>
      </c>
      <c r="BE149" t="s">
        <v>74</v>
      </c>
      <c r="BF149" t="s">
        <v>74</v>
      </c>
      <c r="BG149" t="s">
        <v>74</v>
      </c>
      <c r="BH149" t="s">
        <v>74</v>
      </c>
      <c r="BI149">
        <v>7</v>
      </c>
      <c r="BJ149" t="s">
        <v>614</v>
      </c>
      <c r="BK149" t="s">
        <v>2189</v>
      </c>
      <c r="BL149" t="s">
        <v>614</v>
      </c>
      <c r="BM149" t="s">
        <v>2230</v>
      </c>
      <c r="BN149" t="s">
        <v>74</v>
      </c>
      <c r="BO149" t="s">
        <v>74</v>
      </c>
      <c r="BP149" t="s">
        <v>74</v>
      </c>
      <c r="BQ149" t="s">
        <v>74</v>
      </c>
      <c r="BR149" t="s">
        <v>101</v>
      </c>
      <c r="BS149" t="s">
        <v>2254</v>
      </c>
      <c r="BT149" t="str">
        <f>HYPERLINK("https%3A%2F%2Fwww.webofscience.com%2Fwos%2Fwoscc%2Ffull-record%2FWOS:000079334200002","View Full Record in Web of Science")</f>
        <v>View Full Record in Web of Science</v>
      </c>
    </row>
    <row r="150" spans="1:72" x14ac:dyDescent="0.15">
      <c r="A150" t="s">
        <v>2175</v>
      </c>
      <c r="B150" t="s">
        <v>2255</v>
      </c>
      <c r="C150" t="s">
        <v>74</v>
      </c>
      <c r="D150" t="s">
        <v>2212</v>
      </c>
      <c r="E150" t="s">
        <v>74</v>
      </c>
      <c r="F150" t="s">
        <v>2255</v>
      </c>
      <c r="G150" t="s">
        <v>74</v>
      </c>
      <c r="H150" t="s">
        <v>74</v>
      </c>
      <c r="I150" t="s">
        <v>2256</v>
      </c>
      <c r="J150" t="s">
        <v>2214</v>
      </c>
      <c r="K150" t="s">
        <v>2215</v>
      </c>
      <c r="L150" t="s">
        <v>74</v>
      </c>
      <c r="M150" t="s">
        <v>77</v>
      </c>
      <c r="N150" t="s">
        <v>2180</v>
      </c>
      <c r="O150" t="s">
        <v>2216</v>
      </c>
      <c r="P150" t="s">
        <v>2217</v>
      </c>
      <c r="Q150" t="s">
        <v>2218</v>
      </c>
      <c r="R150" t="s">
        <v>74</v>
      </c>
      <c r="S150" t="s">
        <v>74</v>
      </c>
      <c r="T150" t="s">
        <v>74</v>
      </c>
      <c r="U150" t="s">
        <v>2257</v>
      </c>
      <c r="V150" t="s">
        <v>2258</v>
      </c>
      <c r="W150" t="s">
        <v>2259</v>
      </c>
      <c r="X150" t="s">
        <v>2260</v>
      </c>
      <c r="Y150" t="s">
        <v>2261</v>
      </c>
      <c r="Z150" t="s">
        <v>74</v>
      </c>
      <c r="AA150" t="s">
        <v>2262</v>
      </c>
      <c r="AB150" t="s">
        <v>2263</v>
      </c>
      <c r="AC150" t="s">
        <v>74</v>
      </c>
      <c r="AD150" t="s">
        <v>74</v>
      </c>
      <c r="AE150" t="s">
        <v>74</v>
      </c>
      <c r="AF150" t="s">
        <v>74</v>
      </c>
      <c r="AG150">
        <v>9</v>
      </c>
      <c r="AH150">
        <v>0</v>
      </c>
      <c r="AI150">
        <v>0</v>
      </c>
      <c r="AJ150">
        <v>0</v>
      </c>
      <c r="AK150">
        <v>1</v>
      </c>
      <c r="AL150" t="s">
        <v>2225</v>
      </c>
      <c r="AM150" t="s">
        <v>2226</v>
      </c>
      <c r="AN150" t="s">
        <v>2227</v>
      </c>
      <c r="AO150" t="s">
        <v>74</v>
      </c>
      <c r="AP150" t="s">
        <v>74</v>
      </c>
      <c r="AQ150" t="s">
        <v>2228</v>
      </c>
      <c r="AR150" t="s">
        <v>2229</v>
      </c>
      <c r="AS150" t="s">
        <v>74</v>
      </c>
      <c r="AT150" t="s">
        <v>74</v>
      </c>
      <c r="AU150">
        <v>1998</v>
      </c>
      <c r="AV150">
        <v>62</v>
      </c>
      <c r="AW150" t="s">
        <v>74</v>
      </c>
      <c r="AX150" t="s">
        <v>74</v>
      </c>
      <c r="AY150" t="s">
        <v>74</v>
      </c>
      <c r="AZ150" t="s">
        <v>74</v>
      </c>
      <c r="BA150" t="s">
        <v>74</v>
      </c>
      <c r="BB150">
        <v>35</v>
      </c>
      <c r="BC150">
        <v>44</v>
      </c>
      <c r="BD150" t="s">
        <v>74</v>
      </c>
      <c r="BE150" t="s">
        <v>74</v>
      </c>
      <c r="BF150" t="s">
        <v>74</v>
      </c>
      <c r="BG150" t="s">
        <v>74</v>
      </c>
      <c r="BH150" t="s">
        <v>74</v>
      </c>
      <c r="BI150">
        <v>10</v>
      </c>
      <c r="BJ150" t="s">
        <v>614</v>
      </c>
      <c r="BK150" t="s">
        <v>2189</v>
      </c>
      <c r="BL150" t="s">
        <v>614</v>
      </c>
      <c r="BM150" t="s">
        <v>2230</v>
      </c>
      <c r="BN150" t="s">
        <v>74</v>
      </c>
      <c r="BO150" t="s">
        <v>74</v>
      </c>
      <c r="BP150" t="s">
        <v>74</v>
      </c>
      <c r="BQ150" t="s">
        <v>74</v>
      </c>
      <c r="BR150" t="s">
        <v>101</v>
      </c>
      <c r="BS150" t="s">
        <v>2264</v>
      </c>
      <c r="BT150" t="str">
        <f>HYPERLINK("https%3A%2F%2Fwww.webofscience.com%2Fwos%2Fwoscc%2Ffull-record%2FWOS:000079334200005","View Full Record in Web of Science")</f>
        <v>View Full Record in Web of Science</v>
      </c>
    </row>
    <row r="151" spans="1:72" x14ac:dyDescent="0.15">
      <c r="A151" t="s">
        <v>2175</v>
      </c>
      <c r="B151" t="s">
        <v>2265</v>
      </c>
      <c r="C151" t="s">
        <v>74</v>
      </c>
      <c r="D151" t="s">
        <v>2212</v>
      </c>
      <c r="E151" t="s">
        <v>74</v>
      </c>
      <c r="F151" t="s">
        <v>2265</v>
      </c>
      <c r="G151" t="s">
        <v>74</v>
      </c>
      <c r="H151" t="s">
        <v>74</v>
      </c>
      <c r="I151" t="s">
        <v>2266</v>
      </c>
      <c r="J151" t="s">
        <v>2214</v>
      </c>
      <c r="K151" t="s">
        <v>2215</v>
      </c>
      <c r="L151" t="s">
        <v>74</v>
      </c>
      <c r="M151" t="s">
        <v>77</v>
      </c>
      <c r="N151" t="s">
        <v>2180</v>
      </c>
      <c r="O151" t="s">
        <v>2216</v>
      </c>
      <c r="P151" t="s">
        <v>2217</v>
      </c>
      <c r="Q151" t="s">
        <v>2218</v>
      </c>
      <c r="R151" t="s">
        <v>74</v>
      </c>
      <c r="S151" t="s">
        <v>74</v>
      </c>
      <c r="T151" t="s">
        <v>74</v>
      </c>
      <c r="U151" t="s">
        <v>2267</v>
      </c>
      <c r="V151" t="s">
        <v>2268</v>
      </c>
      <c r="W151" t="s">
        <v>2269</v>
      </c>
      <c r="X151" t="s">
        <v>2221</v>
      </c>
      <c r="Y151" t="s">
        <v>2270</v>
      </c>
      <c r="Z151" t="s">
        <v>74</v>
      </c>
      <c r="AA151" t="s">
        <v>2271</v>
      </c>
      <c r="AB151" t="s">
        <v>2272</v>
      </c>
      <c r="AC151" t="s">
        <v>74</v>
      </c>
      <c r="AD151" t="s">
        <v>74</v>
      </c>
      <c r="AE151" t="s">
        <v>74</v>
      </c>
      <c r="AF151" t="s">
        <v>74</v>
      </c>
      <c r="AG151">
        <v>10</v>
      </c>
      <c r="AH151">
        <v>0</v>
      </c>
      <c r="AI151">
        <v>0</v>
      </c>
      <c r="AJ151">
        <v>0</v>
      </c>
      <c r="AK151">
        <v>0</v>
      </c>
      <c r="AL151" t="s">
        <v>2225</v>
      </c>
      <c r="AM151" t="s">
        <v>2226</v>
      </c>
      <c r="AN151" t="s">
        <v>2227</v>
      </c>
      <c r="AO151" t="s">
        <v>74</v>
      </c>
      <c r="AP151" t="s">
        <v>74</v>
      </c>
      <c r="AQ151" t="s">
        <v>2228</v>
      </c>
      <c r="AR151" t="s">
        <v>2229</v>
      </c>
      <c r="AS151" t="s">
        <v>74</v>
      </c>
      <c r="AT151" t="s">
        <v>74</v>
      </c>
      <c r="AU151">
        <v>1998</v>
      </c>
      <c r="AV151">
        <v>62</v>
      </c>
      <c r="AW151" t="s">
        <v>74</v>
      </c>
      <c r="AX151" t="s">
        <v>74</v>
      </c>
      <c r="AY151" t="s">
        <v>74</v>
      </c>
      <c r="AZ151" t="s">
        <v>74</v>
      </c>
      <c r="BA151" t="s">
        <v>74</v>
      </c>
      <c r="BB151">
        <v>45</v>
      </c>
      <c r="BC151">
        <v>52</v>
      </c>
      <c r="BD151" t="s">
        <v>74</v>
      </c>
      <c r="BE151" t="s">
        <v>74</v>
      </c>
      <c r="BF151" t="s">
        <v>74</v>
      </c>
      <c r="BG151" t="s">
        <v>74</v>
      </c>
      <c r="BH151" t="s">
        <v>74</v>
      </c>
      <c r="BI151">
        <v>8</v>
      </c>
      <c r="BJ151" t="s">
        <v>614</v>
      </c>
      <c r="BK151" t="s">
        <v>2189</v>
      </c>
      <c r="BL151" t="s">
        <v>614</v>
      </c>
      <c r="BM151" t="s">
        <v>2230</v>
      </c>
      <c r="BN151" t="s">
        <v>74</v>
      </c>
      <c r="BO151" t="s">
        <v>74</v>
      </c>
      <c r="BP151" t="s">
        <v>74</v>
      </c>
      <c r="BQ151" t="s">
        <v>74</v>
      </c>
      <c r="BR151" t="s">
        <v>101</v>
      </c>
      <c r="BS151" t="s">
        <v>2273</v>
      </c>
      <c r="BT151" t="str">
        <f>HYPERLINK("https%3A%2F%2Fwww.webofscience.com%2Fwos%2Fwoscc%2Ffull-record%2FWOS:000079334200006","View Full Record in Web of Science")</f>
        <v>View Full Record in Web of Science</v>
      </c>
    </row>
    <row r="152" spans="1:72" x14ac:dyDescent="0.15">
      <c r="A152" t="s">
        <v>2175</v>
      </c>
      <c r="B152" t="s">
        <v>2274</v>
      </c>
      <c r="C152" t="s">
        <v>74</v>
      </c>
      <c r="D152" t="s">
        <v>2212</v>
      </c>
      <c r="E152" t="s">
        <v>74</v>
      </c>
      <c r="F152" t="s">
        <v>2274</v>
      </c>
      <c r="G152" t="s">
        <v>74</v>
      </c>
      <c r="H152" t="s">
        <v>74</v>
      </c>
      <c r="I152" t="s">
        <v>2275</v>
      </c>
      <c r="J152" t="s">
        <v>2214</v>
      </c>
      <c r="K152" t="s">
        <v>2215</v>
      </c>
      <c r="L152" t="s">
        <v>74</v>
      </c>
      <c r="M152" t="s">
        <v>77</v>
      </c>
      <c r="N152" t="s">
        <v>2180</v>
      </c>
      <c r="O152" t="s">
        <v>2216</v>
      </c>
      <c r="P152" t="s">
        <v>2217</v>
      </c>
      <c r="Q152" t="s">
        <v>2218</v>
      </c>
      <c r="R152" t="s">
        <v>74</v>
      </c>
      <c r="S152" t="s">
        <v>74</v>
      </c>
      <c r="T152" t="s">
        <v>74</v>
      </c>
      <c r="U152" t="s">
        <v>2276</v>
      </c>
      <c r="V152" t="s">
        <v>2277</v>
      </c>
      <c r="W152" t="s">
        <v>2278</v>
      </c>
      <c r="X152" t="s">
        <v>2221</v>
      </c>
      <c r="Y152" t="s">
        <v>2279</v>
      </c>
      <c r="Z152" t="s">
        <v>74</v>
      </c>
      <c r="AA152" t="s">
        <v>2280</v>
      </c>
      <c r="AB152" t="s">
        <v>2281</v>
      </c>
      <c r="AC152" t="s">
        <v>74</v>
      </c>
      <c r="AD152" t="s">
        <v>74</v>
      </c>
      <c r="AE152" t="s">
        <v>74</v>
      </c>
      <c r="AF152" t="s">
        <v>74</v>
      </c>
      <c r="AG152">
        <v>12</v>
      </c>
      <c r="AH152">
        <v>0</v>
      </c>
      <c r="AI152">
        <v>0</v>
      </c>
      <c r="AJ152">
        <v>0</v>
      </c>
      <c r="AK152">
        <v>1</v>
      </c>
      <c r="AL152" t="s">
        <v>2225</v>
      </c>
      <c r="AM152" t="s">
        <v>2226</v>
      </c>
      <c r="AN152" t="s">
        <v>2227</v>
      </c>
      <c r="AO152" t="s">
        <v>74</v>
      </c>
      <c r="AP152" t="s">
        <v>74</v>
      </c>
      <c r="AQ152" t="s">
        <v>2228</v>
      </c>
      <c r="AR152" t="s">
        <v>2229</v>
      </c>
      <c r="AS152" t="s">
        <v>74</v>
      </c>
      <c r="AT152" t="s">
        <v>74</v>
      </c>
      <c r="AU152">
        <v>1998</v>
      </c>
      <c r="AV152">
        <v>62</v>
      </c>
      <c r="AW152" t="s">
        <v>74</v>
      </c>
      <c r="AX152" t="s">
        <v>74</v>
      </c>
      <c r="AY152" t="s">
        <v>74</v>
      </c>
      <c r="AZ152" t="s">
        <v>74</v>
      </c>
      <c r="BA152" t="s">
        <v>74</v>
      </c>
      <c r="BB152">
        <v>55</v>
      </c>
      <c r="BC152">
        <v>64</v>
      </c>
      <c r="BD152" t="s">
        <v>74</v>
      </c>
      <c r="BE152" t="s">
        <v>74</v>
      </c>
      <c r="BF152" t="s">
        <v>74</v>
      </c>
      <c r="BG152" t="s">
        <v>74</v>
      </c>
      <c r="BH152" t="s">
        <v>74</v>
      </c>
      <c r="BI152">
        <v>10</v>
      </c>
      <c r="BJ152" t="s">
        <v>614</v>
      </c>
      <c r="BK152" t="s">
        <v>2189</v>
      </c>
      <c r="BL152" t="s">
        <v>614</v>
      </c>
      <c r="BM152" t="s">
        <v>2230</v>
      </c>
      <c r="BN152" t="s">
        <v>74</v>
      </c>
      <c r="BO152" t="s">
        <v>74</v>
      </c>
      <c r="BP152" t="s">
        <v>74</v>
      </c>
      <c r="BQ152" t="s">
        <v>74</v>
      </c>
      <c r="BR152" t="s">
        <v>101</v>
      </c>
      <c r="BS152" t="s">
        <v>2282</v>
      </c>
      <c r="BT152" t="str">
        <f>HYPERLINK("https%3A%2F%2Fwww.webofscience.com%2Fwos%2Fwoscc%2Ffull-record%2FWOS:000079334200007","View Full Record in Web of Science")</f>
        <v>View Full Record in Web of Science</v>
      </c>
    </row>
    <row r="153" spans="1:72" x14ac:dyDescent="0.15">
      <c r="A153" t="s">
        <v>2175</v>
      </c>
      <c r="B153" t="s">
        <v>2283</v>
      </c>
      <c r="C153" t="s">
        <v>74</v>
      </c>
      <c r="D153" t="s">
        <v>2212</v>
      </c>
      <c r="E153" t="s">
        <v>74</v>
      </c>
      <c r="F153" t="s">
        <v>2283</v>
      </c>
      <c r="G153" t="s">
        <v>74</v>
      </c>
      <c r="H153" t="s">
        <v>74</v>
      </c>
      <c r="I153" t="s">
        <v>2284</v>
      </c>
      <c r="J153" t="s">
        <v>2214</v>
      </c>
      <c r="K153" t="s">
        <v>2215</v>
      </c>
      <c r="L153" t="s">
        <v>74</v>
      </c>
      <c r="M153" t="s">
        <v>77</v>
      </c>
      <c r="N153" t="s">
        <v>2180</v>
      </c>
      <c r="O153" t="s">
        <v>2216</v>
      </c>
      <c r="P153" t="s">
        <v>2217</v>
      </c>
      <c r="Q153" t="s">
        <v>2218</v>
      </c>
      <c r="R153" t="s">
        <v>74</v>
      </c>
      <c r="S153" t="s">
        <v>74</v>
      </c>
      <c r="T153" t="s">
        <v>74</v>
      </c>
      <c r="U153" t="s">
        <v>74</v>
      </c>
      <c r="V153" t="s">
        <v>2285</v>
      </c>
      <c r="W153" t="s">
        <v>2286</v>
      </c>
      <c r="X153" t="s">
        <v>74</v>
      </c>
      <c r="Y153" t="s">
        <v>2287</v>
      </c>
      <c r="Z153" t="s">
        <v>74</v>
      </c>
      <c r="AA153" t="s">
        <v>2288</v>
      </c>
      <c r="AB153" t="s">
        <v>2289</v>
      </c>
      <c r="AC153" t="s">
        <v>74</v>
      </c>
      <c r="AD153" t="s">
        <v>74</v>
      </c>
      <c r="AE153" t="s">
        <v>74</v>
      </c>
      <c r="AF153" t="s">
        <v>74</v>
      </c>
      <c r="AG153">
        <v>1</v>
      </c>
      <c r="AH153">
        <v>1</v>
      </c>
      <c r="AI153">
        <v>1</v>
      </c>
      <c r="AJ153">
        <v>0</v>
      </c>
      <c r="AK153">
        <v>0</v>
      </c>
      <c r="AL153" t="s">
        <v>2225</v>
      </c>
      <c r="AM153" t="s">
        <v>2226</v>
      </c>
      <c r="AN153" t="s">
        <v>2227</v>
      </c>
      <c r="AO153" t="s">
        <v>74</v>
      </c>
      <c r="AP153" t="s">
        <v>74</v>
      </c>
      <c r="AQ153" t="s">
        <v>2228</v>
      </c>
      <c r="AR153" t="s">
        <v>2229</v>
      </c>
      <c r="AS153" t="s">
        <v>74</v>
      </c>
      <c r="AT153" t="s">
        <v>74</v>
      </c>
      <c r="AU153">
        <v>1998</v>
      </c>
      <c r="AV153">
        <v>62</v>
      </c>
      <c r="AW153" t="s">
        <v>74</v>
      </c>
      <c r="AX153" t="s">
        <v>74</v>
      </c>
      <c r="AY153" t="s">
        <v>74</v>
      </c>
      <c r="AZ153" t="s">
        <v>74</v>
      </c>
      <c r="BA153" t="s">
        <v>74</v>
      </c>
      <c r="BB153">
        <v>65</v>
      </c>
      <c r="BC153">
        <v>76</v>
      </c>
      <c r="BD153" t="s">
        <v>74</v>
      </c>
      <c r="BE153" t="s">
        <v>74</v>
      </c>
      <c r="BF153" t="s">
        <v>74</v>
      </c>
      <c r="BG153" t="s">
        <v>74</v>
      </c>
      <c r="BH153" t="s">
        <v>74</v>
      </c>
      <c r="BI153">
        <v>12</v>
      </c>
      <c r="BJ153" t="s">
        <v>614</v>
      </c>
      <c r="BK153" t="s">
        <v>2189</v>
      </c>
      <c r="BL153" t="s">
        <v>614</v>
      </c>
      <c r="BM153" t="s">
        <v>2230</v>
      </c>
      <c r="BN153" t="s">
        <v>74</v>
      </c>
      <c r="BO153" t="s">
        <v>74</v>
      </c>
      <c r="BP153" t="s">
        <v>74</v>
      </c>
      <c r="BQ153" t="s">
        <v>74</v>
      </c>
      <c r="BR153" t="s">
        <v>101</v>
      </c>
      <c r="BS153" t="s">
        <v>2290</v>
      </c>
      <c r="BT153" t="str">
        <f>HYPERLINK("https%3A%2F%2Fwww.webofscience.com%2Fwos%2Fwoscc%2Ffull-record%2FWOS:000079334200008","View Full Record in Web of Science")</f>
        <v>View Full Record in Web of Science</v>
      </c>
    </row>
    <row r="154" spans="1:72" x14ac:dyDescent="0.15">
      <c r="A154" t="s">
        <v>2175</v>
      </c>
      <c r="B154" t="s">
        <v>2291</v>
      </c>
      <c r="C154" t="s">
        <v>74</v>
      </c>
      <c r="D154" t="s">
        <v>2212</v>
      </c>
      <c r="E154" t="s">
        <v>74</v>
      </c>
      <c r="F154" t="s">
        <v>2291</v>
      </c>
      <c r="G154" t="s">
        <v>74</v>
      </c>
      <c r="H154" t="s">
        <v>74</v>
      </c>
      <c r="I154" t="s">
        <v>2292</v>
      </c>
      <c r="J154" t="s">
        <v>2214</v>
      </c>
      <c r="K154" t="s">
        <v>2215</v>
      </c>
      <c r="L154" t="s">
        <v>74</v>
      </c>
      <c r="M154" t="s">
        <v>77</v>
      </c>
      <c r="N154" t="s">
        <v>2180</v>
      </c>
      <c r="O154" t="s">
        <v>2216</v>
      </c>
      <c r="P154" t="s">
        <v>2217</v>
      </c>
      <c r="Q154" t="s">
        <v>2218</v>
      </c>
      <c r="R154" t="s">
        <v>74</v>
      </c>
      <c r="S154" t="s">
        <v>74</v>
      </c>
      <c r="T154" t="s">
        <v>74</v>
      </c>
      <c r="U154" t="s">
        <v>2293</v>
      </c>
      <c r="V154" t="s">
        <v>2294</v>
      </c>
      <c r="W154" t="s">
        <v>2269</v>
      </c>
      <c r="X154" t="s">
        <v>2221</v>
      </c>
      <c r="Y154" t="s">
        <v>2295</v>
      </c>
      <c r="Z154" t="s">
        <v>74</v>
      </c>
      <c r="AA154" t="s">
        <v>2296</v>
      </c>
      <c r="AB154" t="s">
        <v>2297</v>
      </c>
      <c r="AC154" t="s">
        <v>74</v>
      </c>
      <c r="AD154" t="s">
        <v>74</v>
      </c>
      <c r="AE154" t="s">
        <v>74</v>
      </c>
      <c r="AF154" t="s">
        <v>74</v>
      </c>
      <c r="AG154">
        <v>15</v>
      </c>
      <c r="AH154">
        <v>1</v>
      </c>
      <c r="AI154">
        <v>1</v>
      </c>
      <c r="AJ154">
        <v>0</v>
      </c>
      <c r="AK154">
        <v>0</v>
      </c>
      <c r="AL154" t="s">
        <v>2225</v>
      </c>
      <c r="AM154" t="s">
        <v>2226</v>
      </c>
      <c r="AN154" t="s">
        <v>2227</v>
      </c>
      <c r="AO154" t="s">
        <v>74</v>
      </c>
      <c r="AP154" t="s">
        <v>74</v>
      </c>
      <c r="AQ154" t="s">
        <v>2228</v>
      </c>
      <c r="AR154" t="s">
        <v>2229</v>
      </c>
      <c r="AS154" t="s">
        <v>74</v>
      </c>
      <c r="AT154" t="s">
        <v>74</v>
      </c>
      <c r="AU154">
        <v>1998</v>
      </c>
      <c r="AV154">
        <v>62</v>
      </c>
      <c r="AW154" t="s">
        <v>74</v>
      </c>
      <c r="AX154" t="s">
        <v>74</v>
      </c>
      <c r="AY154" t="s">
        <v>74</v>
      </c>
      <c r="AZ154" t="s">
        <v>74</v>
      </c>
      <c r="BA154" t="s">
        <v>74</v>
      </c>
      <c r="BB154">
        <v>77</v>
      </c>
      <c r="BC154">
        <v>98</v>
      </c>
      <c r="BD154" t="s">
        <v>74</v>
      </c>
      <c r="BE154" t="s">
        <v>74</v>
      </c>
      <c r="BF154" t="s">
        <v>74</v>
      </c>
      <c r="BG154" t="s">
        <v>74</v>
      </c>
      <c r="BH154" t="s">
        <v>74</v>
      </c>
      <c r="BI154">
        <v>22</v>
      </c>
      <c r="BJ154" t="s">
        <v>614</v>
      </c>
      <c r="BK154" t="s">
        <v>2189</v>
      </c>
      <c r="BL154" t="s">
        <v>614</v>
      </c>
      <c r="BM154" t="s">
        <v>2230</v>
      </c>
      <c r="BN154" t="s">
        <v>74</v>
      </c>
      <c r="BO154" t="s">
        <v>74</v>
      </c>
      <c r="BP154" t="s">
        <v>74</v>
      </c>
      <c r="BQ154" t="s">
        <v>74</v>
      </c>
      <c r="BR154" t="s">
        <v>101</v>
      </c>
      <c r="BS154" t="s">
        <v>2298</v>
      </c>
      <c r="BT154" t="str">
        <f>HYPERLINK("https%3A%2F%2Fwww.webofscience.com%2Fwos%2Fwoscc%2Ffull-record%2FWOS:000079334200009","View Full Record in Web of Science")</f>
        <v>View Full Record in Web of Science</v>
      </c>
    </row>
    <row r="155" spans="1:72" x14ac:dyDescent="0.15">
      <c r="A155" t="s">
        <v>2175</v>
      </c>
      <c r="B155" t="s">
        <v>2299</v>
      </c>
      <c r="C155" t="s">
        <v>74</v>
      </c>
      <c r="D155" t="s">
        <v>2212</v>
      </c>
      <c r="E155" t="s">
        <v>74</v>
      </c>
      <c r="F155" t="s">
        <v>2299</v>
      </c>
      <c r="G155" t="s">
        <v>74</v>
      </c>
      <c r="H155" t="s">
        <v>74</v>
      </c>
      <c r="I155" t="s">
        <v>2300</v>
      </c>
      <c r="J155" t="s">
        <v>2214</v>
      </c>
      <c r="K155" t="s">
        <v>2215</v>
      </c>
      <c r="L155" t="s">
        <v>74</v>
      </c>
      <c r="M155" t="s">
        <v>77</v>
      </c>
      <c r="N155" t="s">
        <v>2180</v>
      </c>
      <c r="O155" t="s">
        <v>2216</v>
      </c>
      <c r="P155" t="s">
        <v>2217</v>
      </c>
      <c r="Q155" t="s">
        <v>2218</v>
      </c>
      <c r="R155" t="s">
        <v>74</v>
      </c>
      <c r="S155" t="s">
        <v>74</v>
      </c>
      <c r="T155" t="s">
        <v>74</v>
      </c>
      <c r="U155" t="s">
        <v>74</v>
      </c>
      <c r="V155" t="s">
        <v>2301</v>
      </c>
      <c r="W155" t="s">
        <v>2302</v>
      </c>
      <c r="X155" t="s">
        <v>2221</v>
      </c>
      <c r="Y155" t="s">
        <v>2303</v>
      </c>
      <c r="Z155" t="s">
        <v>74</v>
      </c>
      <c r="AA155" t="s">
        <v>2304</v>
      </c>
      <c r="AB155" t="s">
        <v>2289</v>
      </c>
      <c r="AC155" t="s">
        <v>74</v>
      </c>
      <c r="AD155" t="s">
        <v>74</v>
      </c>
      <c r="AE155" t="s">
        <v>74</v>
      </c>
      <c r="AF155" t="s">
        <v>74</v>
      </c>
      <c r="AG155">
        <v>5</v>
      </c>
      <c r="AH155">
        <v>0</v>
      </c>
      <c r="AI155">
        <v>0</v>
      </c>
      <c r="AJ155">
        <v>0</v>
      </c>
      <c r="AK155">
        <v>1</v>
      </c>
      <c r="AL155" t="s">
        <v>2225</v>
      </c>
      <c r="AM155" t="s">
        <v>2226</v>
      </c>
      <c r="AN155" t="s">
        <v>2227</v>
      </c>
      <c r="AO155" t="s">
        <v>74</v>
      </c>
      <c r="AP155" t="s">
        <v>74</v>
      </c>
      <c r="AQ155" t="s">
        <v>2228</v>
      </c>
      <c r="AR155" t="s">
        <v>2229</v>
      </c>
      <c r="AS155" t="s">
        <v>74</v>
      </c>
      <c r="AT155" t="s">
        <v>74</v>
      </c>
      <c r="AU155">
        <v>1998</v>
      </c>
      <c r="AV155">
        <v>62</v>
      </c>
      <c r="AW155" t="s">
        <v>74</v>
      </c>
      <c r="AX155" t="s">
        <v>74</v>
      </c>
      <c r="AY155" t="s">
        <v>74</v>
      </c>
      <c r="AZ155" t="s">
        <v>74</v>
      </c>
      <c r="BA155" t="s">
        <v>74</v>
      </c>
      <c r="BB155">
        <v>99</v>
      </c>
      <c r="BC155">
        <v>107</v>
      </c>
      <c r="BD155" t="s">
        <v>74</v>
      </c>
      <c r="BE155" t="s">
        <v>74</v>
      </c>
      <c r="BF155" t="s">
        <v>74</v>
      </c>
      <c r="BG155" t="s">
        <v>74</v>
      </c>
      <c r="BH155" t="s">
        <v>74</v>
      </c>
      <c r="BI155">
        <v>9</v>
      </c>
      <c r="BJ155" t="s">
        <v>614</v>
      </c>
      <c r="BK155" t="s">
        <v>2189</v>
      </c>
      <c r="BL155" t="s">
        <v>614</v>
      </c>
      <c r="BM155" t="s">
        <v>2230</v>
      </c>
      <c r="BN155" t="s">
        <v>74</v>
      </c>
      <c r="BO155" t="s">
        <v>74</v>
      </c>
      <c r="BP155" t="s">
        <v>74</v>
      </c>
      <c r="BQ155" t="s">
        <v>74</v>
      </c>
      <c r="BR155" t="s">
        <v>101</v>
      </c>
      <c r="BS155" t="s">
        <v>2305</v>
      </c>
      <c r="BT155" t="str">
        <f>HYPERLINK("https%3A%2F%2Fwww.webofscience.com%2Fwos%2Fwoscc%2Ffull-record%2FWOS:000079334200010","View Full Record in Web of Science")</f>
        <v>View Full Record in Web of Science</v>
      </c>
    </row>
    <row r="156" spans="1:72" x14ac:dyDescent="0.15">
      <c r="A156" t="s">
        <v>2175</v>
      </c>
      <c r="B156" t="s">
        <v>2306</v>
      </c>
      <c r="C156" t="s">
        <v>74</v>
      </c>
      <c r="D156" t="s">
        <v>2212</v>
      </c>
      <c r="E156" t="s">
        <v>74</v>
      </c>
      <c r="F156" t="s">
        <v>2306</v>
      </c>
      <c r="G156" t="s">
        <v>74</v>
      </c>
      <c r="H156" t="s">
        <v>74</v>
      </c>
      <c r="I156" t="s">
        <v>2307</v>
      </c>
      <c r="J156" t="s">
        <v>2214</v>
      </c>
      <c r="K156" t="s">
        <v>2215</v>
      </c>
      <c r="L156" t="s">
        <v>74</v>
      </c>
      <c r="M156" t="s">
        <v>77</v>
      </c>
      <c r="N156" t="s">
        <v>2180</v>
      </c>
      <c r="O156" t="s">
        <v>2216</v>
      </c>
      <c r="P156" t="s">
        <v>2217</v>
      </c>
      <c r="Q156" t="s">
        <v>2218</v>
      </c>
      <c r="R156" t="s">
        <v>74</v>
      </c>
      <c r="S156" t="s">
        <v>74</v>
      </c>
      <c r="T156" t="s">
        <v>74</v>
      </c>
      <c r="U156" t="s">
        <v>2308</v>
      </c>
      <c r="V156" t="s">
        <v>2309</v>
      </c>
      <c r="W156" t="s">
        <v>2310</v>
      </c>
      <c r="X156" t="s">
        <v>2311</v>
      </c>
      <c r="Y156" t="s">
        <v>2312</v>
      </c>
      <c r="Z156" t="s">
        <v>74</v>
      </c>
      <c r="AA156" t="s">
        <v>74</v>
      </c>
      <c r="AB156" t="s">
        <v>74</v>
      </c>
      <c r="AC156" t="s">
        <v>74</v>
      </c>
      <c r="AD156" t="s">
        <v>74</v>
      </c>
      <c r="AE156" t="s">
        <v>74</v>
      </c>
      <c r="AF156" t="s">
        <v>74</v>
      </c>
      <c r="AG156">
        <v>18</v>
      </c>
      <c r="AH156">
        <v>0</v>
      </c>
      <c r="AI156">
        <v>0</v>
      </c>
      <c r="AJ156">
        <v>0</v>
      </c>
      <c r="AK156">
        <v>1</v>
      </c>
      <c r="AL156" t="s">
        <v>2225</v>
      </c>
      <c r="AM156" t="s">
        <v>2226</v>
      </c>
      <c r="AN156" t="s">
        <v>2227</v>
      </c>
      <c r="AO156" t="s">
        <v>74</v>
      </c>
      <c r="AP156" t="s">
        <v>74</v>
      </c>
      <c r="AQ156" t="s">
        <v>2228</v>
      </c>
      <c r="AR156" t="s">
        <v>2229</v>
      </c>
      <c r="AS156" t="s">
        <v>74</v>
      </c>
      <c r="AT156" t="s">
        <v>74</v>
      </c>
      <c r="AU156">
        <v>1998</v>
      </c>
      <c r="AV156">
        <v>62</v>
      </c>
      <c r="AW156" t="s">
        <v>74</v>
      </c>
      <c r="AX156" t="s">
        <v>74</v>
      </c>
      <c r="AY156" t="s">
        <v>74</v>
      </c>
      <c r="AZ156" t="s">
        <v>74</v>
      </c>
      <c r="BA156" t="s">
        <v>74</v>
      </c>
      <c r="BB156">
        <v>109</v>
      </c>
      <c r="BC156">
        <v>118</v>
      </c>
      <c r="BD156" t="s">
        <v>74</v>
      </c>
      <c r="BE156" t="s">
        <v>74</v>
      </c>
      <c r="BF156" t="s">
        <v>74</v>
      </c>
      <c r="BG156" t="s">
        <v>74</v>
      </c>
      <c r="BH156" t="s">
        <v>74</v>
      </c>
      <c r="BI156">
        <v>10</v>
      </c>
      <c r="BJ156" t="s">
        <v>614</v>
      </c>
      <c r="BK156" t="s">
        <v>2189</v>
      </c>
      <c r="BL156" t="s">
        <v>614</v>
      </c>
      <c r="BM156" t="s">
        <v>2230</v>
      </c>
      <c r="BN156" t="s">
        <v>74</v>
      </c>
      <c r="BO156" t="s">
        <v>74</v>
      </c>
      <c r="BP156" t="s">
        <v>74</v>
      </c>
      <c r="BQ156" t="s">
        <v>74</v>
      </c>
      <c r="BR156" t="s">
        <v>101</v>
      </c>
      <c r="BS156" t="s">
        <v>2313</v>
      </c>
      <c r="BT156" t="str">
        <f>HYPERLINK("https%3A%2F%2Fwww.webofscience.com%2Fwos%2Fwoscc%2Ffull-record%2FWOS:000079334200011","View Full Record in Web of Science")</f>
        <v>View Full Record in Web of Science</v>
      </c>
    </row>
    <row r="157" spans="1:72" x14ac:dyDescent="0.15">
      <c r="A157" t="s">
        <v>2175</v>
      </c>
      <c r="B157" t="s">
        <v>2314</v>
      </c>
      <c r="C157" t="s">
        <v>74</v>
      </c>
      <c r="D157" t="s">
        <v>2212</v>
      </c>
      <c r="E157" t="s">
        <v>74</v>
      </c>
      <c r="F157" t="s">
        <v>2314</v>
      </c>
      <c r="G157" t="s">
        <v>74</v>
      </c>
      <c r="H157" t="s">
        <v>74</v>
      </c>
      <c r="I157" t="s">
        <v>2315</v>
      </c>
      <c r="J157" t="s">
        <v>2214</v>
      </c>
      <c r="K157" t="s">
        <v>2215</v>
      </c>
      <c r="L157" t="s">
        <v>74</v>
      </c>
      <c r="M157" t="s">
        <v>77</v>
      </c>
      <c r="N157" t="s">
        <v>2180</v>
      </c>
      <c r="O157" t="s">
        <v>2216</v>
      </c>
      <c r="P157" t="s">
        <v>2217</v>
      </c>
      <c r="Q157" t="s">
        <v>2218</v>
      </c>
      <c r="R157" t="s">
        <v>74</v>
      </c>
      <c r="S157" t="s">
        <v>74</v>
      </c>
      <c r="T157" t="s">
        <v>74</v>
      </c>
      <c r="U157" t="s">
        <v>2316</v>
      </c>
      <c r="V157" t="s">
        <v>2317</v>
      </c>
      <c r="W157" t="s">
        <v>2318</v>
      </c>
      <c r="X157" t="s">
        <v>2221</v>
      </c>
      <c r="Y157" t="s">
        <v>2319</v>
      </c>
      <c r="Z157" t="s">
        <v>74</v>
      </c>
      <c r="AA157" t="s">
        <v>2320</v>
      </c>
      <c r="AB157" t="s">
        <v>2321</v>
      </c>
      <c r="AC157" t="s">
        <v>74</v>
      </c>
      <c r="AD157" t="s">
        <v>74</v>
      </c>
      <c r="AE157" t="s">
        <v>74</v>
      </c>
      <c r="AF157" t="s">
        <v>74</v>
      </c>
      <c r="AG157">
        <v>9</v>
      </c>
      <c r="AH157">
        <v>0</v>
      </c>
      <c r="AI157">
        <v>0</v>
      </c>
      <c r="AJ157">
        <v>0</v>
      </c>
      <c r="AK157">
        <v>1</v>
      </c>
      <c r="AL157" t="s">
        <v>2225</v>
      </c>
      <c r="AM157" t="s">
        <v>2226</v>
      </c>
      <c r="AN157" t="s">
        <v>2227</v>
      </c>
      <c r="AO157" t="s">
        <v>74</v>
      </c>
      <c r="AP157" t="s">
        <v>74</v>
      </c>
      <c r="AQ157" t="s">
        <v>2228</v>
      </c>
      <c r="AR157" t="s">
        <v>2229</v>
      </c>
      <c r="AS157" t="s">
        <v>74</v>
      </c>
      <c r="AT157" t="s">
        <v>74</v>
      </c>
      <c r="AU157">
        <v>1998</v>
      </c>
      <c r="AV157">
        <v>62</v>
      </c>
      <c r="AW157" t="s">
        <v>74</v>
      </c>
      <c r="AX157" t="s">
        <v>74</v>
      </c>
      <c r="AY157" t="s">
        <v>74</v>
      </c>
      <c r="AZ157" t="s">
        <v>74</v>
      </c>
      <c r="BA157" t="s">
        <v>74</v>
      </c>
      <c r="BB157">
        <v>119</v>
      </c>
      <c r="BC157">
        <v>126</v>
      </c>
      <c r="BD157" t="s">
        <v>74</v>
      </c>
      <c r="BE157" t="s">
        <v>74</v>
      </c>
      <c r="BF157" t="s">
        <v>74</v>
      </c>
      <c r="BG157" t="s">
        <v>74</v>
      </c>
      <c r="BH157" t="s">
        <v>74</v>
      </c>
      <c r="BI157">
        <v>8</v>
      </c>
      <c r="BJ157" t="s">
        <v>614</v>
      </c>
      <c r="BK157" t="s">
        <v>2189</v>
      </c>
      <c r="BL157" t="s">
        <v>614</v>
      </c>
      <c r="BM157" t="s">
        <v>2230</v>
      </c>
      <c r="BN157" t="s">
        <v>74</v>
      </c>
      <c r="BO157" t="s">
        <v>74</v>
      </c>
      <c r="BP157" t="s">
        <v>74</v>
      </c>
      <c r="BQ157" t="s">
        <v>74</v>
      </c>
      <c r="BR157" t="s">
        <v>101</v>
      </c>
      <c r="BS157" t="s">
        <v>2322</v>
      </c>
      <c r="BT157" t="str">
        <f>HYPERLINK("https%3A%2F%2Fwww.webofscience.com%2Fwos%2Fwoscc%2Ffull-record%2FWOS:000079334200012","View Full Record in Web of Science")</f>
        <v>View Full Record in Web of Science</v>
      </c>
    </row>
    <row r="158" spans="1:72" x14ac:dyDescent="0.15">
      <c r="A158" t="s">
        <v>2175</v>
      </c>
      <c r="B158" t="s">
        <v>2323</v>
      </c>
      <c r="C158" t="s">
        <v>74</v>
      </c>
      <c r="D158" t="s">
        <v>2212</v>
      </c>
      <c r="E158" t="s">
        <v>74</v>
      </c>
      <c r="F158" t="s">
        <v>2323</v>
      </c>
      <c r="G158" t="s">
        <v>74</v>
      </c>
      <c r="H158" t="s">
        <v>74</v>
      </c>
      <c r="I158" t="s">
        <v>2324</v>
      </c>
      <c r="J158" t="s">
        <v>2214</v>
      </c>
      <c r="K158" t="s">
        <v>2215</v>
      </c>
      <c r="L158" t="s">
        <v>74</v>
      </c>
      <c r="M158" t="s">
        <v>77</v>
      </c>
      <c r="N158" t="s">
        <v>2180</v>
      </c>
      <c r="O158" t="s">
        <v>2216</v>
      </c>
      <c r="P158" t="s">
        <v>2217</v>
      </c>
      <c r="Q158" t="s">
        <v>2218</v>
      </c>
      <c r="R158" t="s">
        <v>74</v>
      </c>
      <c r="S158" t="s">
        <v>74</v>
      </c>
      <c r="T158" t="s">
        <v>74</v>
      </c>
      <c r="U158" t="s">
        <v>74</v>
      </c>
      <c r="V158" t="s">
        <v>2325</v>
      </c>
      <c r="W158" t="s">
        <v>2318</v>
      </c>
      <c r="X158" t="s">
        <v>2221</v>
      </c>
      <c r="Y158" t="s">
        <v>2326</v>
      </c>
      <c r="Z158" t="s">
        <v>74</v>
      </c>
      <c r="AA158" t="s">
        <v>2327</v>
      </c>
      <c r="AB158" t="s">
        <v>2328</v>
      </c>
      <c r="AC158" t="s">
        <v>74</v>
      </c>
      <c r="AD158" t="s">
        <v>74</v>
      </c>
      <c r="AE158" t="s">
        <v>74</v>
      </c>
      <c r="AF158" t="s">
        <v>74</v>
      </c>
      <c r="AG158">
        <v>5</v>
      </c>
      <c r="AH158">
        <v>0</v>
      </c>
      <c r="AI158">
        <v>0</v>
      </c>
      <c r="AJ158">
        <v>0</v>
      </c>
      <c r="AK158">
        <v>3</v>
      </c>
      <c r="AL158" t="s">
        <v>2225</v>
      </c>
      <c r="AM158" t="s">
        <v>2226</v>
      </c>
      <c r="AN158" t="s">
        <v>2227</v>
      </c>
      <c r="AO158" t="s">
        <v>74</v>
      </c>
      <c r="AP158" t="s">
        <v>74</v>
      </c>
      <c r="AQ158" t="s">
        <v>2228</v>
      </c>
      <c r="AR158" t="s">
        <v>2229</v>
      </c>
      <c r="AS158" t="s">
        <v>74</v>
      </c>
      <c r="AT158" t="s">
        <v>74</v>
      </c>
      <c r="AU158">
        <v>1998</v>
      </c>
      <c r="AV158">
        <v>62</v>
      </c>
      <c r="AW158" t="s">
        <v>74</v>
      </c>
      <c r="AX158" t="s">
        <v>74</v>
      </c>
      <c r="AY158" t="s">
        <v>74</v>
      </c>
      <c r="AZ158" t="s">
        <v>74</v>
      </c>
      <c r="BA158" t="s">
        <v>74</v>
      </c>
      <c r="BB158">
        <v>127</v>
      </c>
      <c r="BC158">
        <v>136</v>
      </c>
      <c r="BD158" t="s">
        <v>74</v>
      </c>
      <c r="BE158" t="s">
        <v>74</v>
      </c>
      <c r="BF158" t="s">
        <v>74</v>
      </c>
      <c r="BG158" t="s">
        <v>74</v>
      </c>
      <c r="BH158" t="s">
        <v>74</v>
      </c>
      <c r="BI158">
        <v>10</v>
      </c>
      <c r="BJ158" t="s">
        <v>614</v>
      </c>
      <c r="BK158" t="s">
        <v>2189</v>
      </c>
      <c r="BL158" t="s">
        <v>614</v>
      </c>
      <c r="BM158" t="s">
        <v>2230</v>
      </c>
      <c r="BN158" t="s">
        <v>74</v>
      </c>
      <c r="BO158" t="s">
        <v>74</v>
      </c>
      <c r="BP158" t="s">
        <v>74</v>
      </c>
      <c r="BQ158" t="s">
        <v>74</v>
      </c>
      <c r="BR158" t="s">
        <v>101</v>
      </c>
      <c r="BS158" t="s">
        <v>2329</v>
      </c>
      <c r="BT158" t="str">
        <f>HYPERLINK("https%3A%2F%2Fwww.webofscience.com%2Fwos%2Fwoscc%2Ffull-record%2FWOS:000079334200013","View Full Record in Web of Science")</f>
        <v>View Full Record in Web of Science</v>
      </c>
    </row>
    <row r="159" spans="1:72" x14ac:dyDescent="0.15">
      <c r="A159" t="s">
        <v>2175</v>
      </c>
      <c r="B159" t="s">
        <v>2330</v>
      </c>
      <c r="C159" t="s">
        <v>74</v>
      </c>
      <c r="D159" t="s">
        <v>2212</v>
      </c>
      <c r="E159" t="s">
        <v>74</v>
      </c>
      <c r="F159" t="s">
        <v>2330</v>
      </c>
      <c r="G159" t="s">
        <v>74</v>
      </c>
      <c r="H159" t="s">
        <v>74</v>
      </c>
      <c r="I159" t="s">
        <v>2331</v>
      </c>
      <c r="J159" t="s">
        <v>2214</v>
      </c>
      <c r="K159" t="s">
        <v>2215</v>
      </c>
      <c r="L159" t="s">
        <v>74</v>
      </c>
      <c r="M159" t="s">
        <v>77</v>
      </c>
      <c r="N159" t="s">
        <v>2180</v>
      </c>
      <c r="O159" t="s">
        <v>2216</v>
      </c>
      <c r="P159" t="s">
        <v>2217</v>
      </c>
      <c r="Q159" t="s">
        <v>2218</v>
      </c>
      <c r="R159" t="s">
        <v>74</v>
      </c>
      <c r="S159" t="s">
        <v>74</v>
      </c>
      <c r="T159" t="s">
        <v>74</v>
      </c>
      <c r="U159" t="s">
        <v>74</v>
      </c>
      <c r="V159" t="s">
        <v>2332</v>
      </c>
      <c r="W159" t="s">
        <v>2333</v>
      </c>
      <c r="X159" t="s">
        <v>2334</v>
      </c>
      <c r="Y159" t="s">
        <v>2335</v>
      </c>
      <c r="Z159" t="s">
        <v>74</v>
      </c>
      <c r="AA159" t="s">
        <v>74</v>
      </c>
      <c r="AB159" t="s">
        <v>74</v>
      </c>
      <c r="AC159" t="s">
        <v>74</v>
      </c>
      <c r="AD159" t="s">
        <v>74</v>
      </c>
      <c r="AE159" t="s">
        <v>74</v>
      </c>
      <c r="AF159" t="s">
        <v>74</v>
      </c>
      <c r="AG159">
        <v>3</v>
      </c>
      <c r="AH159">
        <v>0</v>
      </c>
      <c r="AI159">
        <v>0</v>
      </c>
      <c r="AJ159">
        <v>0</v>
      </c>
      <c r="AK159">
        <v>0</v>
      </c>
      <c r="AL159" t="s">
        <v>2225</v>
      </c>
      <c r="AM159" t="s">
        <v>2226</v>
      </c>
      <c r="AN159" t="s">
        <v>2227</v>
      </c>
      <c r="AO159" t="s">
        <v>74</v>
      </c>
      <c r="AP159" t="s">
        <v>74</v>
      </c>
      <c r="AQ159" t="s">
        <v>2228</v>
      </c>
      <c r="AR159" t="s">
        <v>2229</v>
      </c>
      <c r="AS159" t="s">
        <v>74</v>
      </c>
      <c r="AT159" t="s">
        <v>74</v>
      </c>
      <c r="AU159">
        <v>1998</v>
      </c>
      <c r="AV159">
        <v>62</v>
      </c>
      <c r="AW159" t="s">
        <v>74</v>
      </c>
      <c r="AX159" t="s">
        <v>74</v>
      </c>
      <c r="AY159" t="s">
        <v>74</v>
      </c>
      <c r="AZ159" t="s">
        <v>74</v>
      </c>
      <c r="BA159" t="s">
        <v>74</v>
      </c>
      <c r="BB159">
        <v>137</v>
      </c>
      <c r="BC159">
        <v>141</v>
      </c>
      <c r="BD159" t="s">
        <v>74</v>
      </c>
      <c r="BE159" t="s">
        <v>74</v>
      </c>
      <c r="BF159" t="s">
        <v>74</v>
      </c>
      <c r="BG159" t="s">
        <v>74</v>
      </c>
      <c r="BH159" t="s">
        <v>74</v>
      </c>
      <c r="BI159">
        <v>5</v>
      </c>
      <c r="BJ159" t="s">
        <v>614</v>
      </c>
      <c r="BK159" t="s">
        <v>2189</v>
      </c>
      <c r="BL159" t="s">
        <v>614</v>
      </c>
      <c r="BM159" t="s">
        <v>2230</v>
      </c>
      <c r="BN159" t="s">
        <v>74</v>
      </c>
      <c r="BO159" t="s">
        <v>74</v>
      </c>
      <c r="BP159" t="s">
        <v>74</v>
      </c>
      <c r="BQ159" t="s">
        <v>74</v>
      </c>
      <c r="BR159" t="s">
        <v>101</v>
      </c>
      <c r="BS159" t="s">
        <v>2336</v>
      </c>
      <c r="BT159" t="str">
        <f>HYPERLINK("https%3A%2F%2Fwww.webofscience.com%2Fwos%2Fwoscc%2Ffull-record%2FWOS:000079334200014","View Full Record in Web of Science")</f>
        <v>View Full Record in Web of Science</v>
      </c>
    </row>
    <row r="160" spans="1:72" x14ac:dyDescent="0.15">
      <c r="A160" t="s">
        <v>2175</v>
      </c>
      <c r="B160" t="s">
        <v>2337</v>
      </c>
      <c r="C160" t="s">
        <v>74</v>
      </c>
      <c r="D160" t="s">
        <v>2212</v>
      </c>
      <c r="E160" t="s">
        <v>74</v>
      </c>
      <c r="F160" t="s">
        <v>2337</v>
      </c>
      <c r="G160" t="s">
        <v>74</v>
      </c>
      <c r="H160" t="s">
        <v>74</v>
      </c>
      <c r="I160" t="s">
        <v>2338</v>
      </c>
      <c r="J160" t="s">
        <v>2214</v>
      </c>
      <c r="K160" t="s">
        <v>2215</v>
      </c>
      <c r="L160" t="s">
        <v>74</v>
      </c>
      <c r="M160" t="s">
        <v>77</v>
      </c>
      <c r="N160" t="s">
        <v>2180</v>
      </c>
      <c r="O160" t="s">
        <v>2216</v>
      </c>
      <c r="P160" t="s">
        <v>2217</v>
      </c>
      <c r="Q160" t="s">
        <v>2218</v>
      </c>
      <c r="R160" t="s">
        <v>74</v>
      </c>
      <c r="S160" t="s">
        <v>74</v>
      </c>
      <c r="T160" t="s">
        <v>74</v>
      </c>
      <c r="U160" t="s">
        <v>74</v>
      </c>
      <c r="V160" t="s">
        <v>2339</v>
      </c>
      <c r="W160" t="s">
        <v>2340</v>
      </c>
      <c r="X160" t="s">
        <v>2341</v>
      </c>
      <c r="Y160" t="s">
        <v>2342</v>
      </c>
      <c r="Z160" t="s">
        <v>74</v>
      </c>
      <c r="AA160" t="s">
        <v>74</v>
      </c>
      <c r="AB160" t="s">
        <v>74</v>
      </c>
      <c r="AC160" t="s">
        <v>74</v>
      </c>
      <c r="AD160" t="s">
        <v>74</v>
      </c>
      <c r="AE160" t="s">
        <v>74</v>
      </c>
      <c r="AF160" t="s">
        <v>74</v>
      </c>
      <c r="AG160">
        <v>6</v>
      </c>
      <c r="AH160">
        <v>1</v>
      </c>
      <c r="AI160">
        <v>1</v>
      </c>
      <c r="AJ160">
        <v>0</v>
      </c>
      <c r="AK160">
        <v>1</v>
      </c>
      <c r="AL160" t="s">
        <v>2225</v>
      </c>
      <c r="AM160" t="s">
        <v>2226</v>
      </c>
      <c r="AN160" t="s">
        <v>2227</v>
      </c>
      <c r="AO160" t="s">
        <v>74</v>
      </c>
      <c r="AP160" t="s">
        <v>74</v>
      </c>
      <c r="AQ160" t="s">
        <v>2228</v>
      </c>
      <c r="AR160" t="s">
        <v>2229</v>
      </c>
      <c r="AS160" t="s">
        <v>74</v>
      </c>
      <c r="AT160" t="s">
        <v>74</v>
      </c>
      <c r="AU160">
        <v>1998</v>
      </c>
      <c r="AV160">
        <v>62</v>
      </c>
      <c r="AW160" t="s">
        <v>74</v>
      </c>
      <c r="AX160" t="s">
        <v>74</v>
      </c>
      <c r="AY160" t="s">
        <v>74</v>
      </c>
      <c r="AZ160" t="s">
        <v>74</v>
      </c>
      <c r="BA160" t="s">
        <v>74</v>
      </c>
      <c r="BB160">
        <v>143</v>
      </c>
      <c r="BC160">
        <v>153</v>
      </c>
      <c r="BD160" t="s">
        <v>74</v>
      </c>
      <c r="BE160" t="s">
        <v>74</v>
      </c>
      <c r="BF160" t="s">
        <v>74</v>
      </c>
      <c r="BG160" t="s">
        <v>74</v>
      </c>
      <c r="BH160" t="s">
        <v>74</v>
      </c>
      <c r="BI160">
        <v>11</v>
      </c>
      <c r="BJ160" t="s">
        <v>614</v>
      </c>
      <c r="BK160" t="s">
        <v>2189</v>
      </c>
      <c r="BL160" t="s">
        <v>614</v>
      </c>
      <c r="BM160" t="s">
        <v>2230</v>
      </c>
      <c r="BN160" t="s">
        <v>74</v>
      </c>
      <c r="BO160" t="s">
        <v>74</v>
      </c>
      <c r="BP160" t="s">
        <v>74</v>
      </c>
      <c r="BQ160" t="s">
        <v>74</v>
      </c>
      <c r="BR160" t="s">
        <v>101</v>
      </c>
      <c r="BS160" t="s">
        <v>2343</v>
      </c>
      <c r="BT160" t="str">
        <f>HYPERLINK("https%3A%2F%2Fwww.webofscience.com%2Fwos%2Fwoscc%2Ffull-record%2FWOS:000079334200015","View Full Record in Web of Science")</f>
        <v>View Full Record in Web of Science</v>
      </c>
    </row>
    <row r="161" spans="1:72" x14ac:dyDescent="0.15">
      <c r="A161" t="s">
        <v>2175</v>
      </c>
      <c r="B161" t="s">
        <v>2344</v>
      </c>
      <c r="C161" t="s">
        <v>74</v>
      </c>
      <c r="D161" t="s">
        <v>2212</v>
      </c>
      <c r="E161" t="s">
        <v>74</v>
      </c>
      <c r="F161" t="s">
        <v>2344</v>
      </c>
      <c r="G161" t="s">
        <v>74</v>
      </c>
      <c r="H161" t="s">
        <v>74</v>
      </c>
      <c r="I161" t="s">
        <v>2345</v>
      </c>
      <c r="J161" t="s">
        <v>2214</v>
      </c>
      <c r="K161" t="s">
        <v>2215</v>
      </c>
      <c r="L161" t="s">
        <v>74</v>
      </c>
      <c r="M161" t="s">
        <v>77</v>
      </c>
      <c r="N161" t="s">
        <v>2180</v>
      </c>
      <c r="O161" t="s">
        <v>2216</v>
      </c>
      <c r="P161" t="s">
        <v>2217</v>
      </c>
      <c r="Q161" t="s">
        <v>2218</v>
      </c>
      <c r="R161" t="s">
        <v>74</v>
      </c>
      <c r="S161" t="s">
        <v>74</v>
      </c>
      <c r="T161" t="s">
        <v>74</v>
      </c>
      <c r="U161" t="s">
        <v>74</v>
      </c>
      <c r="V161" t="s">
        <v>2346</v>
      </c>
      <c r="W161" t="s">
        <v>2347</v>
      </c>
      <c r="X161" t="s">
        <v>2341</v>
      </c>
      <c r="Y161" t="s">
        <v>2348</v>
      </c>
      <c r="Z161" t="s">
        <v>74</v>
      </c>
      <c r="AA161" t="s">
        <v>74</v>
      </c>
      <c r="AB161" t="s">
        <v>74</v>
      </c>
      <c r="AC161" t="s">
        <v>74</v>
      </c>
      <c r="AD161" t="s">
        <v>74</v>
      </c>
      <c r="AE161" t="s">
        <v>74</v>
      </c>
      <c r="AF161" t="s">
        <v>74</v>
      </c>
      <c r="AG161">
        <v>10</v>
      </c>
      <c r="AH161">
        <v>1</v>
      </c>
      <c r="AI161">
        <v>1</v>
      </c>
      <c r="AJ161">
        <v>0</v>
      </c>
      <c r="AK161">
        <v>0</v>
      </c>
      <c r="AL161" t="s">
        <v>2225</v>
      </c>
      <c r="AM161" t="s">
        <v>2226</v>
      </c>
      <c r="AN161" t="s">
        <v>2227</v>
      </c>
      <c r="AO161" t="s">
        <v>74</v>
      </c>
      <c r="AP161" t="s">
        <v>74</v>
      </c>
      <c r="AQ161" t="s">
        <v>2228</v>
      </c>
      <c r="AR161" t="s">
        <v>2229</v>
      </c>
      <c r="AS161" t="s">
        <v>74</v>
      </c>
      <c r="AT161" t="s">
        <v>74</v>
      </c>
      <c r="AU161">
        <v>1998</v>
      </c>
      <c r="AV161">
        <v>62</v>
      </c>
      <c r="AW161" t="s">
        <v>74</v>
      </c>
      <c r="AX161" t="s">
        <v>74</v>
      </c>
      <c r="AY161" t="s">
        <v>74</v>
      </c>
      <c r="AZ161" t="s">
        <v>74</v>
      </c>
      <c r="BA161" t="s">
        <v>74</v>
      </c>
      <c r="BB161">
        <v>155</v>
      </c>
      <c r="BC161">
        <v>166</v>
      </c>
      <c r="BD161" t="s">
        <v>74</v>
      </c>
      <c r="BE161" t="s">
        <v>74</v>
      </c>
      <c r="BF161" t="s">
        <v>74</v>
      </c>
      <c r="BG161" t="s">
        <v>74</v>
      </c>
      <c r="BH161" t="s">
        <v>74</v>
      </c>
      <c r="BI161">
        <v>12</v>
      </c>
      <c r="BJ161" t="s">
        <v>614</v>
      </c>
      <c r="BK161" t="s">
        <v>2189</v>
      </c>
      <c r="BL161" t="s">
        <v>614</v>
      </c>
      <c r="BM161" t="s">
        <v>2230</v>
      </c>
      <c r="BN161" t="s">
        <v>74</v>
      </c>
      <c r="BO161" t="s">
        <v>74</v>
      </c>
      <c r="BP161" t="s">
        <v>74</v>
      </c>
      <c r="BQ161" t="s">
        <v>74</v>
      </c>
      <c r="BR161" t="s">
        <v>101</v>
      </c>
      <c r="BS161" t="s">
        <v>2349</v>
      </c>
      <c r="BT161" t="str">
        <f>HYPERLINK("https%3A%2F%2Fwww.webofscience.com%2Fwos%2Fwoscc%2Ffull-record%2FWOS:000079334200016","View Full Record in Web of Science")</f>
        <v>View Full Record in Web of Science</v>
      </c>
    </row>
    <row r="162" spans="1:72" x14ac:dyDescent="0.15">
      <c r="A162" t="s">
        <v>2175</v>
      </c>
      <c r="B162" t="s">
        <v>2350</v>
      </c>
      <c r="C162" t="s">
        <v>74</v>
      </c>
      <c r="D162" t="s">
        <v>2212</v>
      </c>
      <c r="E162" t="s">
        <v>74</v>
      </c>
      <c r="F162" t="s">
        <v>2350</v>
      </c>
      <c r="G162" t="s">
        <v>74</v>
      </c>
      <c r="H162" t="s">
        <v>74</v>
      </c>
      <c r="I162" t="s">
        <v>2351</v>
      </c>
      <c r="J162" t="s">
        <v>2214</v>
      </c>
      <c r="K162" t="s">
        <v>2215</v>
      </c>
      <c r="L162" t="s">
        <v>74</v>
      </c>
      <c r="M162" t="s">
        <v>77</v>
      </c>
      <c r="N162" t="s">
        <v>2180</v>
      </c>
      <c r="O162" t="s">
        <v>2216</v>
      </c>
      <c r="P162" t="s">
        <v>2217</v>
      </c>
      <c r="Q162" t="s">
        <v>2218</v>
      </c>
      <c r="R162" t="s">
        <v>74</v>
      </c>
      <c r="S162" t="s">
        <v>74</v>
      </c>
      <c r="T162" t="s">
        <v>74</v>
      </c>
      <c r="U162" t="s">
        <v>2352</v>
      </c>
      <c r="V162" t="s">
        <v>2353</v>
      </c>
      <c r="W162" t="s">
        <v>2354</v>
      </c>
      <c r="X162" t="s">
        <v>2221</v>
      </c>
      <c r="Y162" t="s">
        <v>2355</v>
      </c>
      <c r="Z162" t="s">
        <v>74</v>
      </c>
      <c r="AA162" t="s">
        <v>2356</v>
      </c>
      <c r="AB162" t="s">
        <v>2357</v>
      </c>
      <c r="AC162" t="s">
        <v>74</v>
      </c>
      <c r="AD162" t="s">
        <v>74</v>
      </c>
      <c r="AE162" t="s">
        <v>74</v>
      </c>
      <c r="AF162" t="s">
        <v>74</v>
      </c>
      <c r="AG162">
        <v>20</v>
      </c>
      <c r="AH162">
        <v>2</v>
      </c>
      <c r="AI162">
        <v>2</v>
      </c>
      <c r="AJ162">
        <v>0</v>
      </c>
      <c r="AK162">
        <v>5</v>
      </c>
      <c r="AL162" t="s">
        <v>2225</v>
      </c>
      <c r="AM162" t="s">
        <v>2226</v>
      </c>
      <c r="AN162" t="s">
        <v>2227</v>
      </c>
      <c r="AO162" t="s">
        <v>74</v>
      </c>
      <c r="AP162" t="s">
        <v>74</v>
      </c>
      <c r="AQ162" t="s">
        <v>2228</v>
      </c>
      <c r="AR162" t="s">
        <v>2229</v>
      </c>
      <c r="AS162" t="s">
        <v>74</v>
      </c>
      <c r="AT162" t="s">
        <v>74</v>
      </c>
      <c r="AU162">
        <v>1998</v>
      </c>
      <c r="AV162">
        <v>62</v>
      </c>
      <c r="AW162" t="s">
        <v>74</v>
      </c>
      <c r="AX162" t="s">
        <v>74</v>
      </c>
      <c r="AY162" t="s">
        <v>74</v>
      </c>
      <c r="AZ162" t="s">
        <v>74</v>
      </c>
      <c r="BA162" t="s">
        <v>74</v>
      </c>
      <c r="BB162">
        <v>167</v>
      </c>
      <c r="BC162">
        <v>179</v>
      </c>
      <c r="BD162" t="s">
        <v>74</v>
      </c>
      <c r="BE162" t="s">
        <v>74</v>
      </c>
      <c r="BF162" t="s">
        <v>74</v>
      </c>
      <c r="BG162" t="s">
        <v>74</v>
      </c>
      <c r="BH162" t="s">
        <v>74</v>
      </c>
      <c r="BI162">
        <v>13</v>
      </c>
      <c r="BJ162" t="s">
        <v>614</v>
      </c>
      <c r="BK162" t="s">
        <v>2189</v>
      </c>
      <c r="BL162" t="s">
        <v>614</v>
      </c>
      <c r="BM162" t="s">
        <v>2230</v>
      </c>
      <c r="BN162" t="s">
        <v>74</v>
      </c>
      <c r="BO162" t="s">
        <v>74</v>
      </c>
      <c r="BP162" t="s">
        <v>74</v>
      </c>
      <c r="BQ162" t="s">
        <v>74</v>
      </c>
      <c r="BR162" t="s">
        <v>101</v>
      </c>
      <c r="BS162" t="s">
        <v>2358</v>
      </c>
      <c r="BT162" t="str">
        <f>HYPERLINK("https%3A%2F%2Fwww.webofscience.com%2Fwos%2Fwoscc%2Ffull-record%2FWOS:000079334200017","View Full Record in Web of Science")</f>
        <v>View Full Record in Web of Science</v>
      </c>
    </row>
    <row r="163" spans="1:72" x14ac:dyDescent="0.15">
      <c r="A163" t="s">
        <v>2175</v>
      </c>
      <c r="B163" t="s">
        <v>2359</v>
      </c>
      <c r="C163" t="s">
        <v>74</v>
      </c>
      <c r="D163" t="s">
        <v>2212</v>
      </c>
      <c r="E163" t="s">
        <v>74</v>
      </c>
      <c r="F163" t="s">
        <v>2359</v>
      </c>
      <c r="G163" t="s">
        <v>74</v>
      </c>
      <c r="H163" t="s">
        <v>74</v>
      </c>
      <c r="I163" t="s">
        <v>2360</v>
      </c>
      <c r="J163" t="s">
        <v>2214</v>
      </c>
      <c r="K163" t="s">
        <v>2215</v>
      </c>
      <c r="L163" t="s">
        <v>74</v>
      </c>
      <c r="M163" t="s">
        <v>77</v>
      </c>
      <c r="N163" t="s">
        <v>2180</v>
      </c>
      <c r="O163" t="s">
        <v>2216</v>
      </c>
      <c r="P163" t="s">
        <v>2217</v>
      </c>
      <c r="Q163" t="s">
        <v>2218</v>
      </c>
      <c r="R163" t="s">
        <v>74</v>
      </c>
      <c r="S163" t="s">
        <v>74</v>
      </c>
      <c r="T163" t="s">
        <v>74</v>
      </c>
      <c r="U163" t="s">
        <v>2361</v>
      </c>
      <c r="V163" t="s">
        <v>2362</v>
      </c>
      <c r="W163" t="s">
        <v>2220</v>
      </c>
      <c r="X163" t="s">
        <v>2221</v>
      </c>
      <c r="Y163" t="s">
        <v>2363</v>
      </c>
      <c r="Z163" t="s">
        <v>74</v>
      </c>
      <c r="AA163" t="s">
        <v>2364</v>
      </c>
      <c r="AB163" t="s">
        <v>74</v>
      </c>
      <c r="AC163" t="s">
        <v>74</v>
      </c>
      <c r="AD163" t="s">
        <v>74</v>
      </c>
      <c r="AE163" t="s">
        <v>74</v>
      </c>
      <c r="AF163" t="s">
        <v>74</v>
      </c>
      <c r="AG163">
        <v>9</v>
      </c>
      <c r="AH163">
        <v>0</v>
      </c>
      <c r="AI163">
        <v>0</v>
      </c>
      <c r="AJ163">
        <v>0</v>
      </c>
      <c r="AK163">
        <v>1</v>
      </c>
      <c r="AL163" t="s">
        <v>2225</v>
      </c>
      <c r="AM163" t="s">
        <v>2226</v>
      </c>
      <c r="AN163" t="s">
        <v>2227</v>
      </c>
      <c r="AO163" t="s">
        <v>74</v>
      </c>
      <c r="AP163" t="s">
        <v>74</v>
      </c>
      <c r="AQ163" t="s">
        <v>2228</v>
      </c>
      <c r="AR163" t="s">
        <v>2229</v>
      </c>
      <c r="AS163" t="s">
        <v>74</v>
      </c>
      <c r="AT163" t="s">
        <v>74</v>
      </c>
      <c r="AU163">
        <v>1998</v>
      </c>
      <c r="AV163">
        <v>62</v>
      </c>
      <c r="AW163" t="s">
        <v>74</v>
      </c>
      <c r="AX163" t="s">
        <v>74</v>
      </c>
      <c r="AY163" t="s">
        <v>74</v>
      </c>
      <c r="AZ163" t="s">
        <v>74</v>
      </c>
      <c r="BA163" t="s">
        <v>74</v>
      </c>
      <c r="BB163">
        <v>181</v>
      </c>
      <c r="BC163">
        <v>194</v>
      </c>
      <c r="BD163" t="s">
        <v>74</v>
      </c>
      <c r="BE163" t="s">
        <v>74</v>
      </c>
      <c r="BF163" t="s">
        <v>74</v>
      </c>
      <c r="BG163" t="s">
        <v>74</v>
      </c>
      <c r="BH163" t="s">
        <v>74</v>
      </c>
      <c r="BI163">
        <v>14</v>
      </c>
      <c r="BJ163" t="s">
        <v>614</v>
      </c>
      <c r="BK163" t="s">
        <v>2189</v>
      </c>
      <c r="BL163" t="s">
        <v>614</v>
      </c>
      <c r="BM163" t="s">
        <v>2230</v>
      </c>
      <c r="BN163" t="s">
        <v>74</v>
      </c>
      <c r="BO163" t="s">
        <v>74</v>
      </c>
      <c r="BP163" t="s">
        <v>74</v>
      </c>
      <c r="BQ163" t="s">
        <v>74</v>
      </c>
      <c r="BR163" t="s">
        <v>101</v>
      </c>
      <c r="BS163" t="s">
        <v>2365</v>
      </c>
      <c r="BT163" t="str">
        <f>HYPERLINK("https%3A%2F%2Fwww.webofscience.com%2Fwos%2Fwoscc%2Ffull-record%2FWOS:000079334200018","View Full Record in Web of Science")</f>
        <v>View Full Record in Web of Science</v>
      </c>
    </row>
    <row r="164" spans="1:72" x14ac:dyDescent="0.15">
      <c r="A164" t="s">
        <v>2175</v>
      </c>
      <c r="B164" t="s">
        <v>2366</v>
      </c>
      <c r="C164" t="s">
        <v>74</v>
      </c>
      <c r="D164" t="s">
        <v>2212</v>
      </c>
      <c r="E164" t="s">
        <v>74</v>
      </c>
      <c r="F164" t="s">
        <v>2366</v>
      </c>
      <c r="G164" t="s">
        <v>74</v>
      </c>
      <c r="H164" t="s">
        <v>74</v>
      </c>
      <c r="I164" t="s">
        <v>2367</v>
      </c>
      <c r="J164" t="s">
        <v>2214</v>
      </c>
      <c r="K164" t="s">
        <v>2215</v>
      </c>
      <c r="L164" t="s">
        <v>74</v>
      </c>
      <c r="M164" t="s">
        <v>77</v>
      </c>
      <c r="N164" t="s">
        <v>2180</v>
      </c>
      <c r="O164" t="s">
        <v>2216</v>
      </c>
      <c r="P164" t="s">
        <v>2217</v>
      </c>
      <c r="Q164" t="s">
        <v>2218</v>
      </c>
      <c r="R164" t="s">
        <v>74</v>
      </c>
      <c r="S164" t="s">
        <v>74</v>
      </c>
      <c r="T164" t="s">
        <v>74</v>
      </c>
      <c r="U164" t="s">
        <v>2368</v>
      </c>
      <c r="V164" t="s">
        <v>2369</v>
      </c>
      <c r="W164" t="s">
        <v>2370</v>
      </c>
      <c r="X164" t="s">
        <v>2221</v>
      </c>
      <c r="Y164" t="s">
        <v>2371</v>
      </c>
      <c r="Z164" t="s">
        <v>74</v>
      </c>
      <c r="AA164" t="s">
        <v>2364</v>
      </c>
      <c r="AB164" t="s">
        <v>74</v>
      </c>
      <c r="AC164" t="s">
        <v>74</v>
      </c>
      <c r="AD164" t="s">
        <v>74</v>
      </c>
      <c r="AE164" t="s">
        <v>74</v>
      </c>
      <c r="AF164" t="s">
        <v>74</v>
      </c>
      <c r="AG164">
        <v>12</v>
      </c>
      <c r="AH164">
        <v>0</v>
      </c>
      <c r="AI164">
        <v>0</v>
      </c>
      <c r="AJ164">
        <v>0</v>
      </c>
      <c r="AK164">
        <v>1</v>
      </c>
      <c r="AL164" t="s">
        <v>2225</v>
      </c>
      <c r="AM164" t="s">
        <v>2226</v>
      </c>
      <c r="AN164" t="s">
        <v>2227</v>
      </c>
      <c r="AO164" t="s">
        <v>74</v>
      </c>
      <c r="AP164" t="s">
        <v>74</v>
      </c>
      <c r="AQ164" t="s">
        <v>2228</v>
      </c>
      <c r="AR164" t="s">
        <v>2229</v>
      </c>
      <c r="AS164" t="s">
        <v>74</v>
      </c>
      <c r="AT164" t="s">
        <v>74</v>
      </c>
      <c r="AU164">
        <v>1998</v>
      </c>
      <c r="AV164">
        <v>62</v>
      </c>
      <c r="AW164" t="s">
        <v>74</v>
      </c>
      <c r="AX164" t="s">
        <v>74</v>
      </c>
      <c r="AY164" t="s">
        <v>74</v>
      </c>
      <c r="AZ164" t="s">
        <v>74</v>
      </c>
      <c r="BA164" t="s">
        <v>74</v>
      </c>
      <c r="BB164">
        <v>195</v>
      </c>
      <c r="BC164">
        <v>214</v>
      </c>
      <c r="BD164" t="s">
        <v>74</v>
      </c>
      <c r="BE164" t="s">
        <v>74</v>
      </c>
      <c r="BF164" t="s">
        <v>74</v>
      </c>
      <c r="BG164" t="s">
        <v>74</v>
      </c>
      <c r="BH164" t="s">
        <v>74</v>
      </c>
      <c r="BI164">
        <v>20</v>
      </c>
      <c r="BJ164" t="s">
        <v>614</v>
      </c>
      <c r="BK164" t="s">
        <v>2189</v>
      </c>
      <c r="BL164" t="s">
        <v>614</v>
      </c>
      <c r="BM164" t="s">
        <v>2230</v>
      </c>
      <c r="BN164" t="s">
        <v>74</v>
      </c>
      <c r="BO164" t="s">
        <v>74</v>
      </c>
      <c r="BP164" t="s">
        <v>74</v>
      </c>
      <c r="BQ164" t="s">
        <v>74</v>
      </c>
      <c r="BR164" t="s">
        <v>101</v>
      </c>
      <c r="BS164" t="s">
        <v>2372</v>
      </c>
      <c r="BT164" t="str">
        <f>HYPERLINK("https%3A%2F%2Fwww.webofscience.com%2Fwos%2Fwoscc%2Ffull-record%2FWOS:000079334200019","View Full Record in Web of Science")</f>
        <v>View Full Record in Web of Science</v>
      </c>
    </row>
    <row r="165" spans="1:72" x14ac:dyDescent="0.15">
      <c r="A165" t="s">
        <v>2175</v>
      </c>
      <c r="B165" t="s">
        <v>2373</v>
      </c>
      <c r="C165" t="s">
        <v>74</v>
      </c>
      <c r="D165" t="s">
        <v>2212</v>
      </c>
      <c r="E165" t="s">
        <v>74</v>
      </c>
      <c r="F165" t="s">
        <v>2373</v>
      </c>
      <c r="G165" t="s">
        <v>74</v>
      </c>
      <c r="H165" t="s">
        <v>74</v>
      </c>
      <c r="I165" t="s">
        <v>2374</v>
      </c>
      <c r="J165" t="s">
        <v>2214</v>
      </c>
      <c r="K165" t="s">
        <v>2215</v>
      </c>
      <c r="L165" t="s">
        <v>74</v>
      </c>
      <c r="M165" t="s">
        <v>77</v>
      </c>
      <c r="N165" t="s">
        <v>2180</v>
      </c>
      <c r="O165" t="s">
        <v>2216</v>
      </c>
      <c r="P165" t="s">
        <v>2217</v>
      </c>
      <c r="Q165" t="s">
        <v>2218</v>
      </c>
      <c r="R165" t="s">
        <v>74</v>
      </c>
      <c r="S165" t="s">
        <v>74</v>
      </c>
      <c r="T165" t="s">
        <v>74</v>
      </c>
      <c r="U165" t="s">
        <v>74</v>
      </c>
      <c r="V165" t="s">
        <v>2375</v>
      </c>
      <c r="W165" t="s">
        <v>2376</v>
      </c>
      <c r="X165" t="s">
        <v>2377</v>
      </c>
      <c r="Y165" t="s">
        <v>2378</v>
      </c>
      <c r="Z165" t="s">
        <v>74</v>
      </c>
      <c r="AA165" t="s">
        <v>2379</v>
      </c>
      <c r="AB165" t="s">
        <v>2380</v>
      </c>
      <c r="AC165" t="s">
        <v>74</v>
      </c>
      <c r="AD165" t="s">
        <v>74</v>
      </c>
      <c r="AE165" t="s">
        <v>74</v>
      </c>
      <c r="AF165" t="s">
        <v>74</v>
      </c>
      <c r="AG165">
        <v>13</v>
      </c>
      <c r="AH165">
        <v>1</v>
      </c>
      <c r="AI165">
        <v>1</v>
      </c>
      <c r="AJ165">
        <v>0</v>
      </c>
      <c r="AK165">
        <v>2</v>
      </c>
      <c r="AL165" t="s">
        <v>2225</v>
      </c>
      <c r="AM165" t="s">
        <v>2226</v>
      </c>
      <c r="AN165" t="s">
        <v>2227</v>
      </c>
      <c r="AO165" t="s">
        <v>74</v>
      </c>
      <c r="AP165" t="s">
        <v>74</v>
      </c>
      <c r="AQ165" t="s">
        <v>2228</v>
      </c>
      <c r="AR165" t="s">
        <v>2229</v>
      </c>
      <c r="AS165" t="s">
        <v>74</v>
      </c>
      <c r="AT165" t="s">
        <v>74</v>
      </c>
      <c r="AU165">
        <v>1998</v>
      </c>
      <c r="AV165">
        <v>62</v>
      </c>
      <c r="AW165" t="s">
        <v>74</v>
      </c>
      <c r="AX165" t="s">
        <v>74</v>
      </c>
      <c r="AY165" t="s">
        <v>74</v>
      </c>
      <c r="AZ165" t="s">
        <v>74</v>
      </c>
      <c r="BA165" t="s">
        <v>74</v>
      </c>
      <c r="BB165">
        <v>215</v>
      </c>
      <c r="BC165">
        <v>227</v>
      </c>
      <c r="BD165" t="s">
        <v>74</v>
      </c>
      <c r="BE165" t="s">
        <v>74</v>
      </c>
      <c r="BF165" t="s">
        <v>74</v>
      </c>
      <c r="BG165" t="s">
        <v>74</v>
      </c>
      <c r="BH165" t="s">
        <v>74</v>
      </c>
      <c r="BI165">
        <v>13</v>
      </c>
      <c r="BJ165" t="s">
        <v>614</v>
      </c>
      <c r="BK165" t="s">
        <v>2189</v>
      </c>
      <c r="BL165" t="s">
        <v>614</v>
      </c>
      <c r="BM165" t="s">
        <v>2230</v>
      </c>
      <c r="BN165" t="s">
        <v>74</v>
      </c>
      <c r="BO165" t="s">
        <v>74</v>
      </c>
      <c r="BP165" t="s">
        <v>74</v>
      </c>
      <c r="BQ165" t="s">
        <v>74</v>
      </c>
      <c r="BR165" t="s">
        <v>101</v>
      </c>
      <c r="BS165" t="s">
        <v>2381</v>
      </c>
      <c r="BT165" t="str">
        <f>HYPERLINK("https%3A%2F%2Fwww.webofscience.com%2Fwos%2Fwoscc%2Ffull-record%2FWOS:000079334200020","View Full Record in Web of Science")</f>
        <v>View Full Record in Web of Science</v>
      </c>
    </row>
    <row r="166" spans="1:72" x14ac:dyDescent="0.15">
      <c r="A166" t="s">
        <v>2175</v>
      </c>
      <c r="B166" t="s">
        <v>2382</v>
      </c>
      <c r="C166" t="s">
        <v>74</v>
      </c>
      <c r="D166" t="s">
        <v>2212</v>
      </c>
      <c r="E166" t="s">
        <v>74</v>
      </c>
      <c r="F166" t="s">
        <v>2382</v>
      </c>
      <c r="G166" t="s">
        <v>74</v>
      </c>
      <c r="H166" t="s">
        <v>74</v>
      </c>
      <c r="I166" t="s">
        <v>2383</v>
      </c>
      <c r="J166" t="s">
        <v>2214</v>
      </c>
      <c r="K166" t="s">
        <v>2215</v>
      </c>
      <c r="L166" t="s">
        <v>74</v>
      </c>
      <c r="M166" t="s">
        <v>77</v>
      </c>
      <c r="N166" t="s">
        <v>2180</v>
      </c>
      <c r="O166" t="s">
        <v>2216</v>
      </c>
      <c r="P166" t="s">
        <v>2217</v>
      </c>
      <c r="Q166" t="s">
        <v>2218</v>
      </c>
      <c r="R166" t="s">
        <v>74</v>
      </c>
      <c r="S166" t="s">
        <v>74</v>
      </c>
      <c r="T166" t="s">
        <v>74</v>
      </c>
      <c r="U166" t="s">
        <v>2384</v>
      </c>
      <c r="V166" t="s">
        <v>2385</v>
      </c>
      <c r="W166" t="s">
        <v>2386</v>
      </c>
      <c r="X166" t="s">
        <v>2387</v>
      </c>
      <c r="Y166" t="s">
        <v>2388</v>
      </c>
      <c r="Z166" t="s">
        <v>74</v>
      </c>
      <c r="AA166" t="s">
        <v>2379</v>
      </c>
      <c r="AB166" t="s">
        <v>2380</v>
      </c>
      <c r="AC166" t="s">
        <v>74</v>
      </c>
      <c r="AD166" t="s">
        <v>74</v>
      </c>
      <c r="AE166" t="s">
        <v>74</v>
      </c>
      <c r="AF166" t="s">
        <v>74</v>
      </c>
      <c r="AG166">
        <v>5</v>
      </c>
      <c r="AH166">
        <v>0</v>
      </c>
      <c r="AI166">
        <v>0</v>
      </c>
      <c r="AJ166">
        <v>0</v>
      </c>
      <c r="AK166">
        <v>1</v>
      </c>
      <c r="AL166" t="s">
        <v>2225</v>
      </c>
      <c r="AM166" t="s">
        <v>2226</v>
      </c>
      <c r="AN166" t="s">
        <v>2227</v>
      </c>
      <c r="AO166" t="s">
        <v>74</v>
      </c>
      <c r="AP166" t="s">
        <v>74</v>
      </c>
      <c r="AQ166" t="s">
        <v>2228</v>
      </c>
      <c r="AR166" t="s">
        <v>2229</v>
      </c>
      <c r="AS166" t="s">
        <v>74</v>
      </c>
      <c r="AT166" t="s">
        <v>74</v>
      </c>
      <c r="AU166">
        <v>1998</v>
      </c>
      <c r="AV166">
        <v>62</v>
      </c>
      <c r="AW166" t="s">
        <v>74</v>
      </c>
      <c r="AX166" t="s">
        <v>74</v>
      </c>
      <c r="AY166" t="s">
        <v>74</v>
      </c>
      <c r="AZ166" t="s">
        <v>74</v>
      </c>
      <c r="BA166" t="s">
        <v>74</v>
      </c>
      <c r="BB166">
        <v>229</v>
      </c>
      <c r="BC166">
        <v>236</v>
      </c>
      <c r="BD166" t="s">
        <v>74</v>
      </c>
      <c r="BE166" t="s">
        <v>74</v>
      </c>
      <c r="BF166" t="s">
        <v>74</v>
      </c>
      <c r="BG166" t="s">
        <v>74</v>
      </c>
      <c r="BH166" t="s">
        <v>74</v>
      </c>
      <c r="BI166">
        <v>8</v>
      </c>
      <c r="BJ166" t="s">
        <v>614</v>
      </c>
      <c r="BK166" t="s">
        <v>2189</v>
      </c>
      <c r="BL166" t="s">
        <v>614</v>
      </c>
      <c r="BM166" t="s">
        <v>2230</v>
      </c>
      <c r="BN166" t="s">
        <v>74</v>
      </c>
      <c r="BO166" t="s">
        <v>74</v>
      </c>
      <c r="BP166" t="s">
        <v>74</v>
      </c>
      <c r="BQ166" t="s">
        <v>74</v>
      </c>
      <c r="BR166" t="s">
        <v>101</v>
      </c>
      <c r="BS166" t="s">
        <v>2389</v>
      </c>
      <c r="BT166" t="str">
        <f>HYPERLINK("https%3A%2F%2Fwww.webofscience.com%2Fwos%2Fwoscc%2Ffull-record%2FWOS:000079334200021","View Full Record in Web of Science")</f>
        <v>View Full Record in Web of Science</v>
      </c>
    </row>
    <row r="167" spans="1:72" x14ac:dyDescent="0.15">
      <c r="A167" t="s">
        <v>2175</v>
      </c>
      <c r="B167" t="s">
        <v>2390</v>
      </c>
      <c r="C167" t="s">
        <v>74</v>
      </c>
      <c r="D167" t="s">
        <v>2212</v>
      </c>
      <c r="E167" t="s">
        <v>74</v>
      </c>
      <c r="F167" t="s">
        <v>2390</v>
      </c>
      <c r="G167" t="s">
        <v>74</v>
      </c>
      <c r="H167" t="s">
        <v>74</v>
      </c>
      <c r="I167" t="s">
        <v>2391</v>
      </c>
      <c r="J167" t="s">
        <v>2214</v>
      </c>
      <c r="K167" t="s">
        <v>2215</v>
      </c>
      <c r="L167" t="s">
        <v>74</v>
      </c>
      <c r="M167" t="s">
        <v>77</v>
      </c>
      <c r="N167" t="s">
        <v>2180</v>
      </c>
      <c r="O167" t="s">
        <v>2216</v>
      </c>
      <c r="P167" t="s">
        <v>2217</v>
      </c>
      <c r="Q167" t="s">
        <v>2218</v>
      </c>
      <c r="R167" t="s">
        <v>74</v>
      </c>
      <c r="S167" t="s">
        <v>74</v>
      </c>
      <c r="T167" t="s">
        <v>74</v>
      </c>
      <c r="U167" t="s">
        <v>2392</v>
      </c>
      <c r="V167" t="s">
        <v>2393</v>
      </c>
      <c r="W167" t="s">
        <v>2394</v>
      </c>
      <c r="X167" t="s">
        <v>2221</v>
      </c>
      <c r="Y167" t="s">
        <v>2395</v>
      </c>
      <c r="Z167" t="s">
        <v>74</v>
      </c>
      <c r="AA167" t="s">
        <v>2396</v>
      </c>
      <c r="AB167" t="s">
        <v>74</v>
      </c>
      <c r="AC167" t="s">
        <v>74</v>
      </c>
      <c r="AD167" t="s">
        <v>74</v>
      </c>
      <c r="AE167" t="s">
        <v>74</v>
      </c>
      <c r="AF167" t="s">
        <v>74</v>
      </c>
      <c r="AG167">
        <v>20</v>
      </c>
      <c r="AH167">
        <v>0</v>
      </c>
      <c r="AI167">
        <v>0</v>
      </c>
      <c r="AJ167">
        <v>0</v>
      </c>
      <c r="AK167">
        <v>2</v>
      </c>
      <c r="AL167" t="s">
        <v>2225</v>
      </c>
      <c r="AM167" t="s">
        <v>2226</v>
      </c>
      <c r="AN167" t="s">
        <v>2227</v>
      </c>
      <c r="AO167" t="s">
        <v>74</v>
      </c>
      <c r="AP167" t="s">
        <v>74</v>
      </c>
      <c r="AQ167" t="s">
        <v>2228</v>
      </c>
      <c r="AR167" t="s">
        <v>2229</v>
      </c>
      <c r="AS167" t="s">
        <v>74</v>
      </c>
      <c r="AT167" t="s">
        <v>74</v>
      </c>
      <c r="AU167">
        <v>1998</v>
      </c>
      <c r="AV167">
        <v>62</v>
      </c>
      <c r="AW167" t="s">
        <v>74</v>
      </c>
      <c r="AX167" t="s">
        <v>74</v>
      </c>
      <c r="AY167" t="s">
        <v>74</v>
      </c>
      <c r="AZ167" t="s">
        <v>74</v>
      </c>
      <c r="BA167" t="s">
        <v>74</v>
      </c>
      <c r="BB167">
        <v>237</v>
      </c>
      <c r="BC167">
        <v>250</v>
      </c>
      <c r="BD167" t="s">
        <v>74</v>
      </c>
      <c r="BE167" t="s">
        <v>74</v>
      </c>
      <c r="BF167" t="s">
        <v>74</v>
      </c>
      <c r="BG167" t="s">
        <v>74</v>
      </c>
      <c r="BH167" t="s">
        <v>74</v>
      </c>
      <c r="BI167">
        <v>14</v>
      </c>
      <c r="BJ167" t="s">
        <v>614</v>
      </c>
      <c r="BK167" t="s">
        <v>2189</v>
      </c>
      <c r="BL167" t="s">
        <v>614</v>
      </c>
      <c r="BM167" t="s">
        <v>2230</v>
      </c>
      <c r="BN167" t="s">
        <v>74</v>
      </c>
      <c r="BO167" t="s">
        <v>74</v>
      </c>
      <c r="BP167" t="s">
        <v>74</v>
      </c>
      <c r="BQ167" t="s">
        <v>74</v>
      </c>
      <c r="BR167" t="s">
        <v>101</v>
      </c>
      <c r="BS167" t="s">
        <v>2397</v>
      </c>
      <c r="BT167" t="str">
        <f>HYPERLINK("https%3A%2F%2Fwww.webofscience.com%2Fwos%2Fwoscc%2Ffull-record%2FWOS:000079334200022","View Full Record in Web of Science")</f>
        <v>View Full Record in Web of Science</v>
      </c>
    </row>
    <row r="168" spans="1:72" x14ac:dyDescent="0.15">
      <c r="A168" t="s">
        <v>2175</v>
      </c>
      <c r="B168" t="s">
        <v>2398</v>
      </c>
      <c r="C168" t="s">
        <v>74</v>
      </c>
      <c r="D168" t="s">
        <v>2212</v>
      </c>
      <c r="E168" t="s">
        <v>74</v>
      </c>
      <c r="F168" t="s">
        <v>2398</v>
      </c>
      <c r="G168" t="s">
        <v>74</v>
      </c>
      <c r="H168" t="s">
        <v>74</v>
      </c>
      <c r="I168" t="s">
        <v>2399</v>
      </c>
      <c r="J168" t="s">
        <v>2214</v>
      </c>
      <c r="K168" t="s">
        <v>2215</v>
      </c>
      <c r="L168" t="s">
        <v>74</v>
      </c>
      <c r="M168" t="s">
        <v>77</v>
      </c>
      <c r="N168" t="s">
        <v>2180</v>
      </c>
      <c r="O168" t="s">
        <v>2216</v>
      </c>
      <c r="P168" t="s">
        <v>2217</v>
      </c>
      <c r="Q168" t="s">
        <v>2218</v>
      </c>
      <c r="R168" t="s">
        <v>74</v>
      </c>
      <c r="S168" t="s">
        <v>74</v>
      </c>
      <c r="T168" t="s">
        <v>74</v>
      </c>
      <c r="U168" t="s">
        <v>2400</v>
      </c>
      <c r="V168" t="s">
        <v>2401</v>
      </c>
      <c r="W168" t="s">
        <v>2402</v>
      </c>
      <c r="X168" t="s">
        <v>2221</v>
      </c>
      <c r="Y168" t="s">
        <v>2403</v>
      </c>
      <c r="Z168" t="s">
        <v>74</v>
      </c>
      <c r="AA168" t="s">
        <v>2404</v>
      </c>
      <c r="AB168" t="s">
        <v>2405</v>
      </c>
      <c r="AC168" t="s">
        <v>74</v>
      </c>
      <c r="AD168" t="s">
        <v>74</v>
      </c>
      <c r="AE168" t="s">
        <v>74</v>
      </c>
      <c r="AF168" t="s">
        <v>74</v>
      </c>
      <c r="AG168">
        <v>43</v>
      </c>
      <c r="AH168">
        <v>0</v>
      </c>
      <c r="AI168">
        <v>0</v>
      </c>
      <c r="AJ168">
        <v>0</v>
      </c>
      <c r="AK168">
        <v>2</v>
      </c>
      <c r="AL168" t="s">
        <v>2225</v>
      </c>
      <c r="AM168" t="s">
        <v>2226</v>
      </c>
      <c r="AN168" t="s">
        <v>2227</v>
      </c>
      <c r="AO168" t="s">
        <v>74</v>
      </c>
      <c r="AP168" t="s">
        <v>74</v>
      </c>
      <c r="AQ168" t="s">
        <v>2228</v>
      </c>
      <c r="AR168" t="s">
        <v>2229</v>
      </c>
      <c r="AS168" t="s">
        <v>74</v>
      </c>
      <c r="AT168" t="s">
        <v>74</v>
      </c>
      <c r="AU168">
        <v>1998</v>
      </c>
      <c r="AV168">
        <v>62</v>
      </c>
      <c r="AW168" t="s">
        <v>74</v>
      </c>
      <c r="AX168" t="s">
        <v>74</v>
      </c>
      <c r="AY168" t="s">
        <v>74</v>
      </c>
      <c r="AZ168" t="s">
        <v>74</v>
      </c>
      <c r="BA168" t="s">
        <v>74</v>
      </c>
      <c r="BB168">
        <v>253</v>
      </c>
      <c r="BC168">
        <v>282</v>
      </c>
      <c r="BD168" t="s">
        <v>74</v>
      </c>
      <c r="BE168" t="s">
        <v>74</v>
      </c>
      <c r="BF168" t="s">
        <v>74</v>
      </c>
      <c r="BG168" t="s">
        <v>74</v>
      </c>
      <c r="BH168" t="s">
        <v>74</v>
      </c>
      <c r="BI168">
        <v>30</v>
      </c>
      <c r="BJ168" t="s">
        <v>614</v>
      </c>
      <c r="BK168" t="s">
        <v>2189</v>
      </c>
      <c r="BL168" t="s">
        <v>614</v>
      </c>
      <c r="BM168" t="s">
        <v>2230</v>
      </c>
      <c r="BN168" t="s">
        <v>74</v>
      </c>
      <c r="BO168" t="s">
        <v>74</v>
      </c>
      <c r="BP168" t="s">
        <v>74</v>
      </c>
      <c r="BQ168" t="s">
        <v>74</v>
      </c>
      <c r="BR168" t="s">
        <v>101</v>
      </c>
      <c r="BS168" t="s">
        <v>2406</v>
      </c>
      <c r="BT168" t="str">
        <f>HYPERLINK("https%3A%2F%2Fwww.webofscience.com%2Fwos%2Fwoscc%2Ffull-record%2FWOS:000079334200023","View Full Record in Web of Science")</f>
        <v>View Full Record in Web of Science</v>
      </c>
    </row>
    <row r="169" spans="1:72" x14ac:dyDescent="0.15">
      <c r="A169" t="s">
        <v>2175</v>
      </c>
      <c r="B169" t="s">
        <v>2407</v>
      </c>
      <c r="C169" t="s">
        <v>74</v>
      </c>
      <c r="D169" t="s">
        <v>2212</v>
      </c>
      <c r="E169" t="s">
        <v>74</v>
      </c>
      <c r="F169" t="s">
        <v>2407</v>
      </c>
      <c r="G169" t="s">
        <v>74</v>
      </c>
      <c r="H169" t="s">
        <v>74</v>
      </c>
      <c r="I169" t="s">
        <v>2408</v>
      </c>
      <c r="J169" t="s">
        <v>2214</v>
      </c>
      <c r="K169" t="s">
        <v>2215</v>
      </c>
      <c r="L169" t="s">
        <v>74</v>
      </c>
      <c r="M169" t="s">
        <v>77</v>
      </c>
      <c r="N169" t="s">
        <v>2180</v>
      </c>
      <c r="O169" t="s">
        <v>2216</v>
      </c>
      <c r="P169" t="s">
        <v>2217</v>
      </c>
      <c r="Q169" t="s">
        <v>2218</v>
      </c>
      <c r="R169" t="s">
        <v>74</v>
      </c>
      <c r="S169" t="s">
        <v>74</v>
      </c>
      <c r="T169" t="s">
        <v>74</v>
      </c>
      <c r="U169" t="s">
        <v>74</v>
      </c>
      <c r="V169" t="s">
        <v>2409</v>
      </c>
      <c r="W169" t="s">
        <v>2370</v>
      </c>
      <c r="X169" t="s">
        <v>2221</v>
      </c>
      <c r="Y169" t="s">
        <v>2410</v>
      </c>
      <c r="Z169" t="s">
        <v>74</v>
      </c>
      <c r="AA169" t="s">
        <v>74</v>
      </c>
      <c r="AB169" t="s">
        <v>74</v>
      </c>
      <c r="AC169" t="s">
        <v>74</v>
      </c>
      <c r="AD169" t="s">
        <v>74</v>
      </c>
      <c r="AE169" t="s">
        <v>74</v>
      </c>
      <c r="AF169" t="s">
        <v>74</v>
      </c>
      <c r="AG169">
        <v>16</v>
      </c>
      <c r="AH169">
        <v>0</v>
      </c>
      <c r="AI169">
        <v>0</v>
      </c>
      <c r="AJ169">
        <v>0</v>
      </c>
      <c r="AK169">
        <v>0</v>
      </c>
      <c r="AL169" t="s">
        <v>2225</v>
      </c>
      <c r="AM169" t="s">
        <v>2226</v>
      </c>
      <c r="AN169" t="s">
        <v>2227</v>
      </c>
      <c r="AO169" t="s">
        <v>74</v>
      </c>
      <c r="AP169" t="s">
        <v>74</v>
      </c>
      <c r="AQ169" t="s">
        <v>2228</v>
      </c>
      <c r="AR169" t="s">
        <v>2229</v>
      </c>
      <c r="AS169" t="s">
        <v>74</v>
      </c>
      <c r="AT169" t="s">
        <v>74</v>
      </c>
      <c r="AU169">
        <v>1998</v>
      </c>
      <c r="AV169">
        <v>62</v>
      </c>
      <c r="AW169" t="s">
        <v>74</v>
      </c>
      <c r="AX169" t="s">
        <v>74</v>
      </c>
      <c r="AY169" t="s">
        <v>74</v>
      </c>
      <c r="AZ169" t="s">
        <v>74</v>
      </c>
      <c r="BA169" t="s">
        <v>74</v>
      </c>
      <c r="BB169">
        <v>283</v>
      </c>
      <c r="BC169">
        <v>293</v>
      </c>
      <c r="BD169" t="s">
        <v>74</v>
      </c>
      <c r="BE169" t="s">
        <v>74</v>
      </c>
      <c r="BF169" t="s">
        <v>74</v>
      </c>
      <c r="BG169" t="s">
        <v>74</v>
      </c>
      <c r="BH169" t="s">
        <v>74</v>
      </c>
      <c r="BI169">
        <v>11</v>
      </c>
      <c r="BJ169" t="s">
        <v>614</v>
      </c>
      <c r="BK169" t="s">
        <v>2189</v>
      </c>
      <c r="BL169" t="s">
        <v>614</v>
      </c>
      <c r="BM169" t="s">
        <v>2230</v>
      </c>
      <c r="BN169" t="s">
        <v>74</v>
      </c>
      <c r="BO169" t="s">
        <v>74</v>
      </c>
      <c r="BP169" t="s">
        <v>74</v>
      </c>
      <c r="BQ169" t="s">
        <v>74</v>
      </c>
      <c r="BR169" t="s">
        <v>101</v>
      </c>
      <c r="BS169" t="s">
        <v>2411</v>
      </c>
      <c r="BT169" t="str">
        <f>HYPERLINK("https%3A%2F%2Fwww.webofscience.com%2Fwos%2Fwoscc%2Ffull-record%2FWOS:000079334200024","View Full Record in Web of Science")</f>
        <v>View Full Record in Web of Science</v>
      </c>
    </row>
    <row r="170" spans="1:72" x14ac:dyDescent="0.15">
      <c r="A170" t="s">
        <v>2175</v>
      </c>
      <c r="B170" t="s">
        <v>2412</v>
      </c>
      <c r="C170" t="s">
        <v>74</v>
      </c>
      <c r="D170" t="s">
        <v>2212</v>
      </c>
      <c r="E170" t="s">
        <v>74</v>
      </c>
      <c r="F170" t="s">
        <v>2412</v>
      </c>
      <c r="G170" t="s">
        <v>74</v>
      </c>
      <c r="H170" t="s">
        <v>74</v>
      </c>
      <c r="I170" t="s">
        <v>2413</v>
      </c>
      <c r="J170" t="s">
        <v>2214</v>
      </c>
      <c r="K170" t="s">
        <v>2215</v>
      </c>
      <c r="L170" t="s">
        <v>74</v>
      </c>
      <c r="M170" t="s">
        <v>77</v>
      </c>
      <c r="N170" t="s">
        <v>2180</v>
      </c>
      <c r="O170" t="s">
        <v>2216</v>
      </c>
      <c r="P170" t="s">
        <v>2217</v>
      </c>
      <c r="Q170" t="s">
        <v>2218</v>
      </c>
      <c r="R170" t="s">
        <v>74</v>
      </c>
      <c r="S170" t="s">
        <v>74</v>
      </c>
      <c r="T170" t="s">
        <v>74</v>
      </c>
      <c r="U170" t="s">
        <v>2414</v>
      </c>
      <c r="V170" t="s">
        <v>2415</v>
      </c>
      <c r="W170" t="s">
        <v>2416</v>
      </c>
      <c r="X170" t="s">
        <v>2221</v>
      </c>
      <c r="Y170" t="s">
        <v>2417</v>
      </c>
      <c r="Z170" t="s">
        <v>2418</v>
      </c>
      <c r="AA170" t="s">
        <v>74</v>
      </c>
      <c r="AB170" t="s">
        <v>74</v>
      </c>
      <c r="AC170" t="s">
        <v>74</v>
      </c>
      <c r="AD170" t="s">
        <v>74</v>
      </c>
      <c r="AE170" t="s">
        <v>74</v>
      </c>
      <c r="AF170" t="s">
        <v>74</v>
      </c>
      <c r="AG170">
        <v>13</v>
      </c>
      <c r="AH170">
        <v>0</v>
      </c>
      <c r="AI170">
        <v>0</v>
      </c>
      <c r="AJ170">
        <v>0</v>
      </c>
      <c r="AK170">
        <v>1</v>
      </c>
      <c r="AL170" t="s">
        <v>2225</v>
      </c>
      <c r="AM170" t="s">
        <v>2226</v>
      </c>
      <c r="AN170" t="s">
        <v>2227</v>
      </c>
      <c r="AO170" t="s">
        <v>74</v>
      </c>
      <c r="AP170" t="s">
        <v>74</v>
      </c>
      <c r="AQ170" t="s">
        <v>2228</v>
      </c>
      <c r="AR170" t="s">
        <v>2229</v>
      </c>
      <c r="AS170" t="s">
        <v>74</v>
      </c>
      <c r="AT170" t="s">
        <v>74</v>
      </c>
      <c r="AU170">
        <v>1998</v>
      </c>
      <c r="AV170">
        <v>62</v>
      </c>
      <c r="AW170" t="s">
        <v>74</v>
      </c>
      <c r="AX170" t="s">
        <v>74</v>
      </c>
      <c r="AY170" t="s">
        <v>74</v>
      </c>
      <c r="AZ170" t="s">
        <v>74</v>
      </c>
      <c r="BA170" t="s">
        <v>74</v>
      </c>
      <c r="BB170">
        <v>295</v>
      </c>
      <c r="BC170">
        <v>305</v>
      </c>
      <c r="BD170" t="s">
        <v>74</v>
      </c>
      <c r="BE170" t="s">
        <v>74</v>
      </c>
      <c r="BF170" t="s">
        <v>74</v>
      </c>
      <c r="BG170" t="s">
        <v>74</v>
      </c>
      <c r="BH170" t="s">
        <v>74</v>
      </c>
      <c r="BI170">
        <v>11</v>
      </c>
      <c r="BJ170" t="s">
        <v>614</v>
      </c>
      <c r="BK170" t="s">
        <v>2189</v>
      </c>
      <c r="BL170" t="s">
        <v>614</v>
      </c>
      <c r="BM170" t="s">
        <v>2230</v>
      </c>
      <c r="BN170" t="s">
        <v>74</v>
      </c>
      <c r="BO170" t="s">
        <v>74</v>
      </c>
      <c r="BP170" t="s">
        <v>74</v>
      </c>
      <c r="BQ170" t="s">
        <v>74</v>
      </c>
      <c r="BR170" t="s">
        <v>101</v>
      </c>
      <c r="BS170" t="s">
        <v>2419</v>
      </c>
      <c r="BT170" t="str">
        <f>HYPERLINK("https%3A%2F%2Fwww.webofscience.com%2Fwos%2Fwoscc%2Ffull-record%2FWOS:000079334200025","View Full Record in Web of Science")</f>
        <v>View Full Record in Web of Science</v>
      </c>
    </row>
    <row r="171" spans="1:72" x14ac:dyDescent="0.15">
      <c r="A171" t="s">
        <v>2175</v>
      </c>
      <c r="B171" t="s">
        <v>2420</v>
      </c>
      <c r="C171" t="s">
        <v>74</v>
      </c>
      <c r="D171" t="s">
        <v>2212</v>
      </c>
      <c r="E171" t="s">
        <v>74</v>
      </c>
      <c r="F171" t="s">
        <v>2420</v>
      </c>
      <c r="G171" t="s">
        <v>74</v>
      </c>
      <c r="H171" t="s">
        <v>74</v>
      </c>
      <c r="I171" t="s">
        <v>2421</v>
      </c>
      <c r="J171" t="s">
        <v>2214</v>
      </c>
      <c r="K171" t="s">
        <v>2215</v>
      </c>
      <c r="L171" t="s">
        <v>74</v>
      </c>
      <c r="M171" t="s">
        <v>77</v>
      </c>
      <c r="N171" t="s">
        <v>2180</v>
      </c>
      <c r="O171" t="s">
        <v>2216</v>
      </c>
      <c r="P171" t="s">
        <v>2217</v>
      </c>
      <c r="Q171" t="s">
        <v>2218</v>
      </c>
      <c r="R171" t="s">
        <v>74</v>
      </c>
      <c r="S171" t="s">
        <v>74</v>
      </c>
      <c r="T171" t="s">
        <v>74</v>
      </c>
      <c r="U171" t="s">
        <v>74</v>
      </c>
      <c r="V171" t="s">
        <v>2422</v>
      </c>
      <c r="W171" t="s">
        <v>2370</v>
      </c>
      <c r="X171" t="s">
        <v>2221</v>
      </c>
      <c r="Y171" t="s">
        <v>2423</v>
      </c>
      <c r="Z171" t="s">
        <v>74</v>
      </c>
      <c r="AA171" t="s">
        <v>74</v>
      </c>
      <c r="AB171" t="s">
        <v>74</v>
      </c>
      <c r="AC171" t="s">
        <v>74</v>
      </c>
      <c r="AD171" t="s">
        <v>74</v>
      </c>
      <c r="AE171" t="s">
        <v>74</v>
      </c>
      <c r="AF171" t="s">
        <v>74</v>
      </c>
      <c r="AG171">
        <v>3</v>
      </c>
      <c r="AH171">
        <v>1</v>
      </c>
      <c r="AI171">
        <v>1</v>
      </c>
      <c r="AJ171">
        <v>0</v>
      </c>
      <c r="AK171">
        <v>1</v>
      </c>
      <c r="AL171" t="s">
        <v>2225</v>
      </c>
      <c r="AM171" t="s">
        <v>2226</v>
      </c>
      <c r="AN171" t="s">
        <v>2227</v>
      </c>
      <c r="AO171" t="s">
        <v>74</v>
      </c>
      <c r="AP171" t="s">
        <v>74</v>
      </c>
      <c r="AQ171" t="s">
        <v>2228</v>
      </c>
      <c r="AR171" t="s">
        <v>2229</v>
      </c>
      <c r="AS171" t="s">
        <v>74</v>
      </c>
      <c r="AT171" t="s">
        <v>74</v>
      </c>
      <c r="AU171">
        <v>1998</v>
      </c>
      <c r="AV171">
        <v>62</v>
      </c>
      <c r="AW171" t="s">
        <v>74</v>
      </c>
      <c r="AX171" t="s">
        <v>74</v>
      </c>
      <c r="AY171" t="s">
        <v>74</v>
      </c>
      <c r="AZ171" t="s">
        <v>74</v>
      </c>
      <c r="BA171" t="s">
        <v>74</v>
      </c>
      <c r="BB171">
        <v>307</v>
      </c>
      <c r="BC171">
        <v>315</v>
      </c>
      <c r="BD171" t="s">
        <v>74</v>
      </c>
      <c r="BE171" t="s">
        <v>74</v>
      </c>
      <c r="BF171" t="s">
        <v>74</v>
      </c>
      <c r="BG171" t="s">
        <v>74</v>
      </c>
      <c r="BH171" t="s">
        <v>74</v>
      </c>
      <c r="BI171">
        <v>9</v>
      </c>
      <c r="BJ171" t="s">
        <v>614</v>
      </c>
      <c r="BK171" t="s">
        <v>2189</v>
      </c>
      <c r="BL171" t="s">
        <v>614</v>
      </c>
      <c r="BM171" t="s">
        <v>2230</v>
      </c>
      <c r="BN171" t="s">
        <v>74</v>
      </c>
      <c r="BO171" t="s">
        <v>74</v>
      </c>
      <c r="BP171" t="s">
        <v>74</v>
      </c>
      <c r="BQ171" t="s">
        <v>74</v>
      </c>
      <c r="BR171" t="s">
        <v>101</v>
      </c>
      <c r="BS171" t="s">
        <v>2424</v>
      </c>
      <c r="BT171" t="str">
        <f>HYPERLINK("https%3A%2F%2Fwww.webofscience.com%2Fwos%2Fwoscc%2Ffull-record%2FWOS:000079334200026","View Full Record in Web of Science")</f>
        <v>View Full Record in Web of Science</v>
      </c>
    </row>
    <row r="172" spans="1:72" x14ac:dyDescent="0.15">
      <c r="A172" t="s">
        <v>2175</v>
      </c>
      <c r="B172" t="s">
        <v>2425</v>
      </c>
      <c r="C172" t="s">
        <v>74</v>
      </c>
      <c r="D172" t="s">
        <v>2212</v>
      </c>
      <c r="E172" t="s">
        <v>74</v>
      </c>
      <c r="F172" t="s">
        <v>2425</v>
      </c>
      <c r="G172" t="s">
        <v>74</v>
      </c>
      <c r="H172" t="s">
        <v>74</v>
      </c>
      <c r="I172" t="s">
        <v>2426</v>
      </c>
      <c r="J172" t="s">
        <v>2214</v>
      </c>
      <c r="K172" t="s">
        <v>2215</v>
      </c>
      <c r="L172" t="s">
        <v>74</v>
      </c>
      <c r="M172" t="s">
        <v>77</v>
      </c>
      <c r="N172" t="s">
        <v>2180</v>
      </c>
      <c r="O172" t="s">
        <v>2216</v>
      </c>
      <c r="P172" t="s">
        <v>2217</v>
      </c>
      <c r="Q172" t="s">
        <v>2218</v>
      </c>
      <c r="R172" t="s">
        <v>74</v>
      </c>
      <c r="S172" t="s">
        <v>74</v>
      </c>
      <c r="T172" t="s">
        <v>74</v>
      </c>
      <c r="U172" t="s">
        <v>74</v>
      </c>
      <c r="V172" t="s">
        <v>2427</v>
      </c>
      <c r="W172" t="s">
        <v>2370</v>
      </c>
      <c r="X172" t="s">
        <v>2221</v>
      </c>
      <c r="Y172" t="s">
        <v>2428</v>
      </c>
      <c r="Z172" t="s">
        <v>74</v>
      </c>
      <c r="AA172" t="s">
        <v>2429</v>
      </c>
      <c r="AB172" t="s">
        <v>2430</v>
      </c>
      <c r="AC172" t="s">
        <v>74</v>
      </c>
      <c r="AD172" t="s">
        <v>74</v>
      </c>
      <c r="AE172" t="s">
        <v>74</v>
      </c>
      <c r="AF172" t="s">
        <v>74</v>
      </c>
      <c r="AG172">
        <v>6</v>
      </c>
      <c r="AH172">
        <v>0</v>
      </c>
      <c r="AI172">
        <v>0</v>
      </c>
      <c r="AJ172">
        <v>0</v>
      </c>
      <c r="AK172">
        <v>0</v>
      </c>
      <c r="AL172" t="s">
        <v>2225</v>
      </c>
      <c r="AM172" t="s">
        <v>2226</v>
      </c>
      <c r="AN172" t="s">
        <v>2227</v>
      </c>
      <c r="AO172" t="s">
        <v>74</v>
      </c>
      <c r="AP172" t="s">
        <v>74</v>
      </c>
      <c r="AQ172" t="s">
        <v>2228</v>
      </c>
      <c r="AR172" t="s">
        <v>2229</v>
      </c>
      <c r="AS172" t="s">
        <v>74</v>
      </c>
      <c r="AT172" t="s">
        <v>74</v>
      </c>
      <c r="AU172">
        <v>1998</v>
      </c>
      <c r="AV172">
        <v>62</v>
      </c>
      <c r="AW172" t="s">
        <v>74</v>
      </c>
      <c r="AX172" t="s">
        <v>74</v>
      </c>
      <c r="AY172" t="s">
        <v>74</v>
      </c>
      <c r="AZ172" t="s">
        <v>74</v>
      </c>
      <c r="BA172" t="s">
        <v>74</v>
      </c>
      <c r="BB172">
        <v>317</v>
      </c>
      <c r="BC172">
        <v>323</v>
      </c>
      <c r="BD172" t="s">
        <v>74</v>
      </c>
      <c r="BE172" t="s">
        <v>74</v>
      </c>
      <c r="BF172" t="s">
        <v>74</v>
      </c>
      <c r="BG172" t="s">
        <v>74</v>
      </c>
      <c r="BH172" t="s">
        <v>74</v>
      </c>
      <c r="BI172">
        <v>7</v>
      </c>
      <c r="BJ172" t="s">
        <v>614</v>
      </c>
      <c r="BK172" t="s">
        <v>2189</v>
      </c>
      <c r="BL172" t="s">
        <v>614</v>
      </c>
      <c r="BM172" t="s">
        <v>2230</v>
      </c>
      <c r="BN172" t="s">
        <v>74</v>
      </c>
      <c r="BO172" t="s">
        <v>74</v>
      </c>
      <c r="BP172" t="s">
        <v>74</v>
      </c>
      <c r="BQ172" t="s">
        <v>74</v>
      </c>
      <c r="BR172" t="s">
        <v>101</v>
      </c>
      <c r="BS172" t="s">
        <v>2431</v>
      </c>
      <c r="BT172" t="str">
        <f>HYPERLINK("https%3A%2F%2Fwww.webofscience.com%2Fwos%2Fwoscc%2Ffull-record%2FWOS:000079334200027","View Full Record in Web of Science")</f>
        <v>View Full Record in Web of Science</v>
      </c>
    </row>
    <row r="173" spans="1:72" x14ac:dyDescent="0.15">
      <c r="A173" t="s">
        <v>2175</v>
      </c>
      <c r="B173" t="s">
        <v>2432</v>
      </c>
      <c r="C173" t="s">
        <v>74</v>
      </c>
      <c r="D173" t="s">
        <v>2212</v>
      </c>
      <c r="E173" t="s">
        <v>74</v>
      </c>
      <c r="F173" t="s">
        <v>2432</v>
      </c>
      <c r="G173" t="s">
        <v>74</v>
      </c>
      <c r="H173" t="s">
        <v>74</v>
      </c>
      <c r="I173" t="s">
        <v>2433</v>
      </c>
      <c r="J173" t="s">
        <v>2214</v>
      </c>
      <c r="K173" t="s">
        <v>2215</v>
      </c>
      <c r="L173" t="s">
        <v>74</v>
      </c>
      <c r="M173" t="s">
        <v>77</v>
      </c>
      <c r="N173" t="s">
        <v>2180</v>
      </c>
      <c r="O173" t="s">
        <v>2216</v>
      </c>
      <c r="P173" t="s">
        <v>2217</v>
      </c>
      <c r="Q173" t="s">
        <v>2218</v>
      </c>
      <c r="R173" t="s">
        <v>74</v>
      </c>
      <c r="S173" t="s">
        <v>74</v>
      </c>
      <c r="T173" t="s">
        <v>74</v>
      </c>
      <c r="U173" t="s">
        <v>2434</v>
      </c>
      <c r="V173" t="s">
        <v>2435</v>
      </c>
      <c r="W173" t="s">
        <v>2436</v>
      </c>
      <c r="X173" t="s">
        <v>2221</v>
      </c>
      <c r="Y173" t="s">
        <v>2437</v>
      </c>
      <c r="Z173" t="s">
        <v>74</v>
      </c>
      <c r="AA173" t="s">
        <v>74</v>
      </c>
      <c r="AB173" t="s">
        <v>74</v>
      </c>
      <c r="AC173" t="s">
        <v>74</v>
      </c>
      <c r="AD173" t="s">
        <v>74</v>
      </c>
      <c r="AE173" t="s">
        <v>74</v>
      </c>
      <c r="AF173" t="s">
        <v>74</v>
      </c>
      <c r="AG173">
        <v>11</v>
      </c>
      <c r="AH173">
        <v>0</v>
      </c>
      <c r="AI173">
        <v>0</v>
      </c>
      <c r="AJ173">
        <v>0</v>
      </c>
      <c r="AK173">
        <v>0</v>
      </c>
      <c r="AL173" t="s">
        <v>2225</v>
      </c>
      <c r="AM173" t="s">
        <v>2226</v>
      </c>
      <c r="AN173" t="s">
        <v>2227</v>
      </c>
      <c r="AO173" t="s">
        <v>74</v>
      </c>
      <c r="AP173" t="s">
        <v>74</v>
      </c>
      <c r="AQ173" t="s">
        <v>2228</v>
      </c>
      <c r="AR173" t="s">
        <v>2229</v>
      </c>
      <c r="AS173" t="s">
        <v>74</v>
      </c>
      <c r="AT173" t="s">
        <v>74</v>
      </c>
      <c r="AU173">
        <v>1998</v>
      </c>
      <c r="AV173">
        <v>62</v>
      </c>
      <c r="AW173" t="s">
        <v>74</v>
      </c>
      <c r="AX173" t="s">
        <v>74</v>
      </c>
      <c r="AY173" t="s">
        <v>74</v>
      </c>
      <c r="AZ173" t="s">
        <v>74</v>
      </c>
      <c r="BA173" t="s">
        <v>74</v>
      </c>
      <c r="BB173">
        <v>325</v>
      </c>
      <c r="BC173">
        <v>332</v>
      </c>
      <c r="BD173" t="s">
        <v>74</v>
      </c>
      <c r="BE173" t="s">
        <v>74</v>
      </c>
      <c r="BF173" t="s">
        <v>74</v>
      </c>
      <c r="BG173" t="s">
        <v>74</v>
      </c>
      <c r="BH173" t="s">
        <v>74</v>
      </c>
      <c r="BI173">
        <v>8</v>
      </c>
      <c r="BJ173" t="s">
        <v>614</v>
      </c>
      <c r="BK173" t="s">
        <v>2189</v>
      </c>
      <c r="BL173" t="s">
        <v>614</v>
      </c>
      <c r="BM173" t="s">
        <v>2230</v>
      </c>
      <c r="BN173" t="s">
        <v>74</v>
      </c>
      <c r="BO173" t="s">
        <v>74</v>
      </c>
      <c r="BP173" t="s">
        <v>74</v>
      </c>
      <c r="BQ173" t="s">
        <v>74</v>
      </c>
      <c r="BR173" t="s">
        <v>101</v>
      </c>
      <c r="BS173" t="s">
        <v>2438</v>
      </c>
      <c r="BT173" t="str">
        <f>HYPERLINK("https%3A%2F%2Fwww.webofscience.com%2Fwos%2Fwoscc%2Ffull-record%2FWOS:000079334200028","View Full Record in Web of Science")</f>
        <v>View Full Record in Web of Science</v>
      </c>
    </row>
    <row r="174" spans="1:72" x14ac:dyDescent="0.15">
      <c r="A174" t="s">
        <v>2175</v>
      </c>
      <c r="B174" t="s">
        <v>2439</v>
      </c>
      <c r="C174" t="s">
        <v>74</v>
      </c>
      <c r="D174" t="s">
        <v>2212</v>
      </c>
      <c r="E174" t="s">
        <v>74</v>
      </c>
      <c r="F174" t="s">
        <v>2439</v>
      </c>
      <c r="G174" t="s">
        <v>74</v>
      </c>
      <c r="H174" t="s">
        <v>74</v>
      </c>
      <c r="I174" t="s">
        <v>2440</v>
      </c>
      <c r="J174" t="s">
        <v>2214</v>
      </c>
      <c r="K174" t="s">
        <v>2215</v>
      </c>
      <c r="L174" t="s">
        <v>74</v>
      </c>
      <c r="M174" t="s">
        <v>77</v>
      </c>
      <c r="N174" t="s">
        <v>2180</v>
      </c>
      <c r="O174" t="s">
        <v>2216</v>
      </c>
      <c r="P174" t="s">
        <v>2217</v>
      </c>
      <c r="Q174" t="s">
        <v>2218</v>
      </c>
      <c r="R174" t="s">
        <v>74</v>
      </c>
      <c r="S174" t="s">
        <v>74</v>
      </c>
      <c r="T174" t="s">
        <v>74</v>
      </c>
      <c r="U174" t="s">
        <v>74</v>
      </c>
      <c r="V174" t="s">
        <v>2441</v>
      </c>
      <c r="W174" t="s">
        <v>2442</v>
      </c>
      <c r="X174" t="s">
        <v>2443</v>
      </c>
      <c r="Y174" t="s">
        <v>2444</v>
      </c>
      <c r="Z174" t="s">
        <v>74</v>
      </c>
      <c r="AA174" t="s">
        <v>2445</v>
      </c>
      <c r="AB174" t="s">
        <v>2446</v>
      </c>
      <c r="AC174" t="s">
        <v>74</v>
      </c>
      <c r="AD174" t="s">
        <v>74</v>
      </c>
      <c r="AE174" t="s">
        <v>74</v>
      </c>
      <c r="AF174" t="s">
        <v>74</v>
      </c>
      <c r="AG174">
        <v>15</v>
      </c>
      <c r="AH174">
        <v>2</v>
      </c>
      <c r="AI174">
        <v>2</v>
      </c>
      <c r="AJ174">
        <v>0</v>
      </c>
      <c r="AK174">
        <v>0</v>
      </c>
      <c r="AL174" t="s">
        <v>2225</v>
      </c>
      <c r="AM174" t="s">
        <v>2226</v>
      </c>
      <c r="AN174" t="s">
        <v>2227</v>
      </c>
      <c r="AO174" t="s">
        <v>74</v>
      </c>
      <c r="AP174" t="s">
        <v>74</v>
      </c>
      <c r="AQ174" t="s">
        <v>2228</v>
      </c>
      <c r="AR174" t="s">
        <v>2229</v>
      </c>
      <c r="AS174" t="s">
        <v>74</v>
      </c>
      <c r="AT174" t="s">
        <v>74</v>
      </c>
      <c r="AU174">
        <v>1998</v>
      </c>
      <c r="AV174">
        <v>62</v>
      </c>
      <c r="AW174" t="s">
        <v>74</v>
      </c>
      <c r="AX174" t="s">
        <v>74</v>
      </c>
      <c r="AY174" t="s">
        <v>74</v>
      </c>
      <c r="AZ174" t="s">
        <v>74</v>
      </c>
      <c r="BA174" t="s">
        <v>74</v>
      </c>
      <c r="BB174">
        <v>335</v>
      </c>
      <c r="BC174">
        <v>344</v>
      </c>
      <c r="BD174" t="s">
        <v>74</v>
      </c>
      <c r="BE174" t="s">
        <v>74</v>
      </c>
      <c r="BF174" t="s">
        <v>74</v>
      </c>
      <c r="BG174" t="s">
        <v>74</v>
      </c>
      <c r="BH174" t="s">
        <v>74</v>
      </c>
      <c r="BI174">
        <v>10</v>
      </c>
      <c r="BJ174" t="s">
        <v>614</v>
      </c>
      <c r="BK174" t="s">
        <v>2189</v>
      </c>
      <c r="BL174" t="s">
        <v>614</v>
      </c>
      <c r="BM174" t="s">
        <v>2230</v>
      </c>
      <c r="BN174" t="s">
        <v>74</v>
      </c>
      <c r="BO174" t="s">
        <v>74</v>
      </c>
      <c r="BP174" t="s">
        <v>74</v>
      </c>
      <c r="BQ174" t="s">
        <v>74</v>
      </c>
      <c r="BR174" t="s">
        <v>101</v>
      </c>
      <c r="BS174" t="s">
        <v>2447</v>
      </c>
      <c r="BT174" t="str">
        <f>HYPERLINK("https%3A%2F%2Fwww.webofscience.com%2Fwos%2Fwoscc%2Ffull-record%2FWOS:000079334200029","View Full Record in Web of Science")</f>
        <v>View Full Record in Web of Science</v>
      </c>
    </row>
    <row r="175" spans="1:72" x14ac:dyDescent="0.15">
      <c r="A175" t="s">
        <v>2175</v>
      </c>
      <c r="B175" t="s">
        <v>2448</v>
      </c>
      <c r="C175" t="s">
        <v>74</v>
      </c>
      <c r="D175" t="s">
        <v>2212</v>
      </c>
      <c r="E175" t="s">
        <v>74</v>
      </c>
      <c r="F175" t="s">
        <v>2448</v>
      </c>
      <c r="G175" t="s">
        <v>74</v>
      </c>
      <c r="H175" t="s">
        <v>74</v>
      </c>
      <c r="I175" t="s">
        <v>2449</v>
      </c>
      <c r="J175" t="s">
        <v>2214</v>
      </c>
      <c r="K175" t="s">
        <v>2215</v>
      </c>
      <c r="L175" t="s">
        <v>74</v>
      </c>
      <c r="M175" t="s">
        <v>77</v>
      </c>
      <c r="N175" t="s">
        <v>2180</v>
      </c>
      <c r="O175" t="s">
        <v>2216</v>
      </c>
      <c r="P175" t="s">
        <v>2217</v>
      </c>
      <c r="Q175" t="s">
        <v>2218</v>
      </c>
      <c r="R175" t="s">
        <v>74</v>
      </c>
      <c r="S175" t="s">
        <v>74</v>
      </c>
      <c r="T175" t="s">
        <v>74</v>
      </c>
      <c r="U175" t="s">
        <v>74</v>
      </c>
      <c r="V175" t="s">
        <v>2450</v>
      </c>
      <c r="W175" t="s">
        <v>74</v>
      </c>
      <c r="X175" t="s">
        <v>74</v>
      </c>
      <c r="Y175" t="s">
        <v>2451</v>
      </c>
      <c r="Z175" t="s">
        <v>74</v>
      </c>
      <c r="AA175" t="s">
        <v>2445</v>
      </c>
      <c r="AB175" t="s">
        <v>2446</v>
      </c>
      <c r="AC175" t="s">
        <v>74</v>
      </c>
      <c r="AD175" t="s">
        <v>74</v>
      </c>
      <c r="AE175" t="s">
        <v>74</v>
      </c>
      <c r="AF175" t="s">
        <v>74</v>
      </c>
      <c r="AG175">
        <v>12</v>
      </c>
      <c r="AH175">
        <v>4</v>
      </c>
      <c r="AI175">
        <v>4</v>
      </c>
      <c r="AJ175">
        <v>0</v>
      </c>
      <c r="AK175">
        <v>0</v>
      </c>
      <c r="AL175" t="s">
        <v>2225</v>
      </c>
      <c r="AM175" t="s">
        <v>2226</v>
      </c>
      <c r="AN175" t="s">
        <v>2227</v>
      </c>
      <c r="AO175" t="s">
        <v>74</v>
      </c>
      <c r="AP175" t="s">
        <v>74</v>
      </c>
      <c r="AQ175" t="s">
        <v>2228</v>
      </c>
      <c r="AR175" t="s">
        <v>2229</v>
      </c>
      <c r="AS175" t="s">
        <v>74</v>
      </c>
      <c r="AT175" t="s">
        <v>74</v>
      </c>
      <c r="AU175">
        <v>1998</v>
      </c>
      <c r="AV175">
        <v>62</v>
      </c>
      <c r="AW175" t="s">
        <v>74</v>
      </c>
      <c r="AX175" t="s">
        <v>74</v>
      </c>
      <c r="AY175" t="s">
        <v>74</v>
      </c>
      <c r="AZ175" t="s">
        <v>74</v>
      </c>
      <c r="BA175" t="s">
        <v>74</v>
      </c>
      <c r="BB175">
        <v>345</v>
      </c>
      <c r="BC175">
        <v>355</v>
      </c>
      <c r="BD175" t="s">
        <v>74</v>
      </c>
      <c r="BE175" t="s">
        <v>74</v>
      </c>
      <c r="BF175" t="s">
        <v>74</v>
      </c>
      <c r="BG175" t="s">
        <v>74</v>
      </c>
      <c r="BH175" t="s">
        <v>74</v>
      </c>
      <c r="BI175">
        <v>11</v>
      </c>
      <c r="BJ175" t="s">
        <v>614</v>
      </c>
      <c r="BK175" t="s">
        <v>2189</v>
      </c>
      <c r="BL175" t="s">
        <v>614</v>
      </c>
      <c r="BM175" t="s">
        <v>2230</v>
      </c>
      <c r="BN175" t="s">
        <v>74</v>
      </c>
      <c r="BO175" t="s">
        <v>74</v>
      </c>
      <c r="BP175" t="s">
        <v>74</v>
      </c>
      <c r="BQ175" t="s">
        <v>74</v>
      </c>
      <c r="BR175" t="s">
        <v>101</v>
      </c>
      <c r="BS175" t="s">
        <v>2452</v>
      </c>
      <c r="BT175" t="str">
        <f>HYPERLINK("https%3A%2F%2Fwww.webofscience.com%2Fwos%2Fwoscc%2Ffull-record%2FWOS:000079334200030","View Full Record in Web of Science")</f>
        <v>View Full Record in Web of Science</v>
      </c>
    </row>
    <row r="176" spans="1:72" x14ac:dyDescent="0.15">
      <c r="A176" t="s">
        <v>2175</v>
      </c>
      <c r="B176" t="s">
        <v>2453</v>
      </c>
      <c r="C176" t="s">
        <v>74</v>
      </c>
      <c r="D176" t="s">
        <v>2212</v>
      </c>
      <c r="E176" t="s">
        <v>74</v>
      </c>
      <c r="F176" t="s">
        <v>2453</v>
      </c>
      <c r="G176" t="s">
        <v>74</v>
      </c>
      <c r="H176" t="s">
        <v>74</v>
      </c>
      <c r="I176" t="s">
        <v>2454</v>
      </c>
      <c r="J176" t="s">
        <v>2214</v>
      </c>
      <c r="K176" t="s">
        <v>2215</v>
      </c>
      <c r="L176" t="s">
        <v>74</v>
      </c>
      <c r="M176" t="s">
        <v>77</v>
      </c>
      <c r="N176" t="s">
        <v>2180</v>
      </c>
      <c r="O176" t="s">
        <v>2216</v>
      </c>
      <c r="P176" t="s">
        <v>2217</v>
      </c>
      <c r="Q176" t="s">
        <v>2218</v>
      </c>
      <c r="R176" t="s">
        <v>74</v>
      </c>
      <c r="S176" t="s">
        <v>74</v>
      </c>
      <c r="T176" t="s">
        <v>74</v>
      </c>
      <c r="U176" t="s">
        <v>74</v>
      </c>
      <c r="V176" t="s">
        <v>2455</v>
      </c>
      <c r="W176" t="s">
        <v>2456</v>
      </c>
      <c r="X176" t="s">
        <v>2457</v>
      </c>
      <c r="Y176" t="s">
        <v>2458</v>
      </c>
      <c r="Z176" t="s">
        <v>74</v>
      </c>
      <c r="AA176" t="s">
        <v>74</v>
      </c>
      <c r="AB176" t="s">
        <v>74</v>
      </c>
      <c r="AC176" t="s">
        <v>74</v>
      </c>
      <c r="AD176" t="s">
        <v>74</v>
      </c>
      <c r="AE176" t="s">
        <v>74</v>
      </c>
      <c r="AF176" t="s">
        <v>74</v>
      </c>
      <c r="AG176">
        <v>12</v>
      </c>
      <c r="AH176">
        <v>0</v>
      </c>
      <c r="AI176">
        <v>0</v>
      </c>
      <c r="AJ176">
        <v>0</v>
      </c>
      <c r="AK176">
        <v>0</v>
      </c>
      <c r="AL176" t="s">
        <v>2225</v>
      </c>
      <c r="AM176" t="s">
        <v>2226</v>
      </c>
      <c r="AN176" t="s">
        <v>2227</v>
      </c>
      <c r="AO176" t="s">
        <v>74</v>
      </c>
      <c r="AP176" t="s">
        <v>74</v>
      </c>
      <c r="AQ176" t="s">
        <v>2228</v>
      </c>
      <c r="AR176" t="s">
        <v>2229</v>
      </c>
      <c r="AS176" t="s">
        <v>74</v>
      </c>
      <c r="AT176" t="s">
        <v>74</v>
      </c>
      <c r="AU176">
        <v>1998</v>
      </c>
      <c r="AV176">
        <v>62</v>
      </c>
      <c r="AW176" t="s">
        <v>74</v>
      </c>
      <c r="AX176" t="s">
        <v>74</v>
      </c>
      <c r="AY176" t="s">
        <v>74</v>
      </c>
      <c r="AZ176" t="s">
        <v>74</v>
      </c>
      <c r="BA176" t="s">
        <v>74</v>
      </c>
      <c r="BB176">
        <v>357</v>
      </c>
      <c r="BC176">
        <v>366</v>
      </c>
      <c r="BD176" t="s">
        <v>74</v>
      </c>
      <c r="BE176" t="s">
        <v>74</v>
      </c>
      <c r="BF176" t="s">
        <v>74</v>
      </c>
      <c r="BG176" t="s">
        <v>74</v>
      </c>
      <c r="BH176" t="s">
        <v>74</v>
      </c>
      <c r="BI176">
        <v>10</v>
      </c>
      <c r="BJ176" t="s">
        <v>614</v>
      </c>
      <c r="BK176" t="s">
        <v>2189</v>
      </c>
      <c r="BL176" t="s">
        <v>614</v>
      </c>
      <c r="BM176" t="s">
        <v>2230</v>
      </c>
      <c r="BN176" t="s">
        <v>74</v>
      </c>
      <c r="BO176" t="s">
        <v>74</v>
      </c>
      <c r="BP176" t="s">
        <v>74</v>
      </c>
      <c r="BQ176" t="s">
        <v>74</v>
      </c>
      <c r="BR176" t="s">
        <v>101</v>
      </c>
      <c r="BS176" t="s">
        <v>2459</v>
      </c>
      <c r="BT176" t="str">
        <f>HYPERLINK("https%3A%2F%2Fwww.webofscience.com%2Fwos%2Fwoscc%2Ffull-record%2FWOS:000079334200031","View Full Record in Web of Science")</f>
        <v>View Full Record in Web of Science</v>
      </c>
    </row>
    <row r="177" spans="1:72" x14ac:dyDescent="0.15">
      <c r="A177" t="s">
        <v>2175</v>
      </c>
      <c r="B177" t="s">
        <v>2460</v>
      </c>
      <c r="C177" t="s">
        <v>74</v>
      </c>
      <c r="D177" t="s">
        <v>2212</v>
      </c>
      <c r="E177" t="s">
        <v>74</v>
      </c>
      <c r="F177" t="s">
        <v>2460</v>
      </c>
      <c r="G177" t="s">
        <v>74</v>
      </c>
      <c r="H177" t="s">
        <v>74</v>
      </c>
      <c r="I177" t="s">
        <v>2461</v>
      </c>
      <c r="J177" t="s">
        <v>2214</v>
      </c>
      <c r="K177" t="s">
        <v>2215</v>
      </c>
      <c r="L177" t="s">
        <v>74</v>
      </c>
      <c r="M177" t="s">
        <v>77</v>
      </c>
      <c r="N177" t="s">
        <v>2180</v>
      </c>
      <c r="O177" t="s">
        <v>2216</v>
      </c>
      <c r="P177" t="s">
        <v>2217</v>
      </c>
      <c r="Q177" t="s">
        <v>2218</v>
      </c>
      <c r="R177" t="s">
        <v>74</v>
      </c>
      <c r="S177" t="s">
        <v>74</v>
      </c>
      <c r="T177" t="s">
        <v>74</v>
      </c>
      <c r="U177" t="s">
        <v>2462</v>
      </c>
      <c r="V177" t="s">
        <v>2463</v>
      </c>
      <c r="W177" t="s">
        <v>2464</v>
      </c>
      <c r="X177" t="s">
        <v>2465</v>
      </c>
      <c r="Y177" t="s">
        <v>2466</v>
      </c>
      <c r="Z177" t="s">
        <v>74</v>
      </c>
      <c r="AA177" t="s">
        <v>2467</v>
      </c>
      <c r="AB177" t="s">
        <v>2468</v>
      </c>
      <c r="AC177" t="s">
        <v>74</v>
      </c>
      <c r="AD177" t="s">
        <v>74</v>
      </c>
      <c r="AE177" t="s">
        <v>74</v>
      </c>
      <c r="AF177" t="s">
        <v>74</v>
      </c>
      <c r="AG177">
        <v>22</v>
      </c>
      <c r="AH177">
        <v>0</v>
      </c>
      <c r="AI177">
        <v>0</v>
      </c>
      <c r="AJ177">
        <v>0</v>
      </c>
      <c r="AK177">
        <v>0</v>
      </c>
      <c r="AL177" t="s">
        <v>2225</v>
      </c>
      <c r="AM177" t="s">
        <v>2226</v>
      </c>
      <c r="AN177" t="s">
        <v>2227</v>
      </c>
      <c r="AO177" t="s">
        <v>74</v>
      </c>
      <c r="AP177" t="s">
        <v>74</v>
      </c>
      <c r="AQ177" t="s">
        <v>2228</v>
      </c>
      <c r="AR177" t="s">
        <v>2229</v>
      </c>
      <c r="AS177" t="s">
        <v>74</v>
      </c>
      <c r="AT177" t="s">
        <v>74</v>
      </c>
      <c r="AU177">
        <v>1998</v>
      </c>
      <c r="AV177">
        <v>62</v>
      </c>
      <c r="AW177" t="s">
        <v>74</v>
      </c>
      <c r="AX177" t="s">
        <v>74</v>
      </c>
      <c r="AY177" t="s">
        <v>74</v>
      </c>
      <c r="AZ177" t="s">
        <v>74</v>
      </c>
      <c r="BA177" t="s">
        <v>74</v>
      </c>
      <c r="BB177">
        <v>367</v>
      </c>
      <c r="BC177">
        <v>376</v>
      </c>
      <c r="BD177" t="s">
        <v>74</v>
      </c>
      <c r="BE177" t="s">
        <v>74</v>
      </c>
      <c r="BF177" t="s">
        <v>74</v>
      </c>
      <c r="BG177" t="s">
        <v>74</v>
      </c>
      <c r="BH177" t="s">
        <v>74</v>
      </c>
      <c r="BI177">
        <v>10</v>
      </c>
      <c r="BJ177" t="s">
        <v>614</v>
      </c>
      <c r="BK177" t="s">
        <v>2189</v>
      </c>
      <c r="BL177" t="s">
        <v>614</v>
      </c>
      <c r="BM177" t="s">
        <v>2230</v>
      </c>
      <c r="BN177" t="s">
        <v>74</v>
      </c>
      <c r="BO177" t="s">
        <v>74</v>
      </c>
      <c r="BP177" t="s">
        <v>74</v>
      </c>
      <c r="BQ177" t="s">
        <v>74</v>
      </c>
      <c r="BR177" t="s">
        <v>101</v>
      </c>
      <c r="BS177" t="s">
        <v>2469</v>
      </c>
      <c r="BT177" t="str">
        <f>HYPERLINK("https%3A%2F%2Fwww.webofscience.com%2Fwos%2Fwoscc%2Ffull-record%2FWOS:000079334200032","View Full Record in Web of Science")</f>
        <v>View Full Record in Web of Science</v>
      </c>
    </row>
    <row r="178" spans="1:72" x14ac:dyDescent="0.15">
      <c r="A178" t="s">
        <v>2175</v>
      </c>
      <c r="B178" t="s">
        <v>2470</v>
      </c>
      <c r="C178" t="s">
        <v>74</v>
      </c>
      <c r="D178" t="s">
        <v>2212</v>
      </c>
      <c r="E178" t="s">
        <v>74</v>
      </c>
      <c r="F178" t="s">
        <v>2470</v>
      </c>
      <c r="G178" t="s">
        <v>74</v>
      </c>
      <c r="H178" t="s">
        <v>74</v>
      </c>
      <c r="I178" t="s">
        <v>2471</v>
      </c>
      <c r="J178" t="s">
        <v>2214</v>
      </c>
      <c r="K178" t="s">
        <v>2215</v>
      </c>
      <c r="L178" t="s">
        <v>74</v>
      </c>
      <c r="M178" t="s">
        <v>77</v>
      </c>
      <c r="N178" t="s">
        <v>2180</v>
      </c>
      <c r="O178" t="s">
        <v>2216</v>
      </c>
      <c r="P178" t="s">
        <v>2217</v>
      </c>
      <c r="Q178" t="s">
        <v>2218</v>
      </c>
      <c r="R178" t="s">
        <v>74</v>
      </c>
      <c r="S178" t="s">
        <v>74</v>
      </c>
      <c r="T178" t="s">
        <v>74</v>
      </c>
      <c r="U178" t="s">
        <v>2472</v>
      </c>
      <c r="V178" t="s">
        <v>2473</v>
      </c>
      <c r="W178" t="s">
        <v>2474</v>
      </c>
      <c r="X178" t="s">
        <v>2465</v>
      </c>
      <c r="Y178" t="s">
        <v>2475</v>
      </c>
      <c r="Z178" t="s">
        <v>74</v>
      </c>
      <c r="AA178" t="s">
        <v>74</v>
      </c>
      <c r="AB178" t="s">
        <v>74</v>
      </c>
      <c r="AC178" t="s">
        <v>74</v>
      </c>
      <c r="AD178" t="s">
        <v>74</v>
      </c>
      <c r="AE178" t="s">
        <v>74</v>
      </c>
      <c r="AF178" t="s">
        <v>74</v>
      </c>
      <c r="AG178">
        <v>8</v>
      </c>
      <c r="AH178">
        <v>1</v>
      </c>
      <c r="AI178">
        <v>1</v>
      </c>
      <c r="AJ178">
        <v>0</v>
      </c>
      <c r="AK178">
        <v>0</v>
      </c>
      <c r="AL178" t="s">
        <v>2225</v>
      </c>
      <c r="AM178" t="s">
        <v>2226</v>
      </c>
      <c r="AN178" t="s">
        <v>2227</v>
      </c>
      <c r="AO178" t="s">
        <v>74</v>
      </c>
      <c r="AP178" t="s">
        <v>74</v>
      </c>
      <c r="AQ178" t="s">
        <v>2228</v>
      </c>
      <c r="AR178" t="s">
        <v>2229</v>
      </c>
      <c r="AS178" t="s">
        <v>74</v>
      </c>
      <c r="AT178" t="s">
        <v>74</v>
      </c>
      <c r="AU178">
        <v>1998</v>
      </c>
      <c r="AV178">
        <v>62</v>
      </c>
      <c r="AW178" t="s">
        <v>74</v>
      </c>
      <c r="AX178" t="s">
        <v>74</v>
      </c>
      <c r="AY178" t="s">
        <v>74</v>
      </c>
      <c r="AZ178" t="s">
        <v>74</v>
      </c>
      <c r="BA178" t="s">
        <v>74</v>
      </c>
      <c r="BB178">
        <v>377</v>
      </c>
      <c r="BC178">
        <v>380</v>
      </c>
      <c r="BD178" t="s">
        <v>74</v>
      </c>
      <c r="BE178" t="s">
        <v>74</v>
      </c>
      <c r="BF178" t="s">
        <v>74</v>
      </c>
      <c r="BG178" t="s">
        <v>74</v>
      </c>
      <c r="BH178" t="s">
        <v>74</v>
      </c>
      <c r="BI178">
        <v>4</v>
      </c>
      <c r="BJ178" t="s">
        <v>614</v>
      </c>
      <c r="BK178" t="s">
        <v>2189</v>
      </c>
      <c r="BL178" t="s">
        <v>614</v>
      </c>
      <c r="BM178" t="s">
        <v>2230</v>
      </c>
      <c r="BN178" t="s">
        <v>74</v>
      </c>
      <c r="BO178" t="s">
        <v>74</v>
      </c>
      <c r="BP178" t="s">
        <v>74</v>
      </c>
      <c r="BQ178" t="s">
        <v>74</v>
      </c>
      <c r="BR178" t="s">
        <v>101</v>
      </c>
      <c r="BS178" t="s">
        <v>2476</v>
      </c>
      <c r="BT178" t="str">
        <f>HYPERLINK("https%3A%2F%2Fwww.webofscience.com%2Fwos%2Fwoscc%2Ffull-record%2FWOS:000079334200033","View Full Record in Web of Science")</f>
        <v>View Full Record in Web of Science</v>
      </c>
    </row>
    <row r="179" spans="1:72" x14ac:dyDescent="0.15">
      <c r="A179" t="s">
        <v>2175</v>
      </c>
      <c r="B179" t="s">
        <v>2477</v>
      </c>
      <c r="C179" t="s">
        <v>74</v>
      </c>
      <c r="D179" t="s">
        <v>2212</v>
      </c>
      <c r="E179" t="s">
        <v>74</v>
      </c>
      <c r="F179" t="s">
        <v>2477</v>
      </c>
      <c r="G179" t="s">
        <v>74</v>
      </c>
      <c r="H179" t="s">
        <v>74</v>
      </c>
      <c r="I179" t="s">
        <v>2478</v>
      </c>
      <c r="J179" t="s">
        <v>2214</v>
      </c>
      <c r="K179" t="s">
        <v>2215</v>
      </c>
      <c r="L179" t="s">
        <v>74</v>
      </c>
      <c r="M179" t="s">
        <v>77</v>
      </c>
      <c r="N179" t="s">
        <v>2180</v>
      </c>
      <c r="O179" t="s">
        <v>2216</v>
      </c>
      <c r="P179" t="s">
        <v>2217</v>
      </c>
      <c r="Q179" t="s">
        <v>2218</v>
      </c>
      <c r="R179" t="s">
        <v>74</v>
      </c>
      <c r="S179" t="s">
        <v>74</v>
      </c>
      <c r="T179" t="s">
        <v>74</v>
      </c>
      <c r="U179" t="s">
        <v>74</v>
      </c>
      <c r="V179" t="s">
        <v>2479</v>
      </c>
      <c r="W179" t="s">
        <v>2480</v>
      </c>
      <c r="X179" t="s">
        <v>2465</v>
      </c>
      <c r="Y179" t="s">
        <v>2481</v>
      </c>
      <c r="Z179" t="s">
        <v>74</v>
      </c>
      <c r="AA179" t="s">
        <v>2482</v>
      </c>
      <c r="AB179" t="s">
        <v>2468</v>
      </c>
      <c r="AC179" t="s">
        <v>74</v>
      </c>
      <c r="AD179" t="s">
        <v>74</v>
      </c>
      <c r="AE179" t="s">
        <v>74</v>
      </c>
      <c r="AF179" t="s">
        <v>74</v>
      </c>
      <c r="AG179">
        <v>6</v>
      </c>
      <c r="AH179">
        <v>0</v>
      </c>
      <c r="AI179">
        <v>0</v>
      </c>
      <c r="AJ179">
        <v>0</v>
      </c>
      <c r="AK179">
        <v>0</v>
      </c>
      <c r="AL179" t="s">
        <v>2225</v>
      </c>
      <c r="AM179" t="s">
        <v>2226</v>
      </c>
      <c r="AN179" t="s">
        <v>2227</v>
      </c>
      <c r="AO179" t="s">
        <v>74</v>
      </c>
      <c r="AP179" t="s">
        <v>74</v>
      </c>
      <c r="AQ179" t="s">
        <v>2228</v>
      </c>
      <c r="AR179" t="s">
        <v>2229</v>
      </c>
      <c r="AS179" t="s">
        <v>74</v>
      </c>
      <c r="AT179" t="s">
        <v>74</v>
      </c>
      <c r="AU179">
        <v>1998</v>
      </c>
      <c r="AV179">
        <v>62</v>
      </c>
      <c r="AW179" t="s">
        <v>74</v>
      </c>
      <c r="AX179" t="s">
        <v>74</v>
      </c>
      <c r="AY179" t="s">
        <v>74</v>
      </c>
      <c r="AZ179" t="s">
        <v>74</v>
      </c>
      <c r="BA179" t="s">
        <v>74</v>
      </c>
      <c r="BB179">
        <v>381</v>
      </c>
      <c r="BC179">
        <v>390</v>
      </c>
      <c r="BD179" t="s">
        <v>74</v>
      </c>
      <c r="BE179" t="s">
        <v>74</v>
      </c>
      <c r="BF179" t="s">
        <v>74</v>
      </c>
      <c r="BG179" t="s">
        <v>74</v>
      </c>
      <c r="BH179" t="s">
        <v>74</v>
      </c>
      <c r="BI179">
        <v>10</v>
      </c>
      <c r="BJ179" t="s">
        <v>614</v>
      </c>
      <c r="BK179" t="s">
        <v>2189</v>
      </c>
      <c r="BL179" t="s">
        <v>614</v>
      </c>
      <c r="BM179" t="s">
        <v>2230</v>
      </c>
      <c r="BN179" t="s">
        <v>74</v>
      </c>
      <c r="BO179" t="s">
        <v>74</v>
      </c>
      <c r="BP179" t="s">
        <v>74</v>
      </c>
      <c r="BQ179" t="s">
        <v>74</v>
      </c>
      <c r="BR179" t="s">
        <v>101</v>
      </c>
      <c r="BS179" t="s">
        <v>2483</v>
      </c>
      <c r="BT179" t="str">
        <f>HYPERLINK("https%3A%2F%2Fwww.webofscience.com%2Fwos%2Fwoscc%2Ffull-record%2FWOS:000079334200034","View Full Record in Web of Science")</f>
        <v>View Full Record in Web of Science</v>
      </c>
    </row>
    <row r="180" spans="1:72" x14ac:dyDescent="0.15">
      <c r="A180" t="s">
        <v>2175</v>
      </c>
      <c r="B180" t="s">
        <v>2484</v>
      </c>
      <c r="C180" t="s">
        <v>74</v>
      </c>
      <c r="D180" t="s">
        <v>2212</v>
      </c>
      <c r="E180" t="s">
        <v>74</v>
      </c>
      <c r="F180" t="s">
        <v>2484</v>
      </c>
      <c r="G180" t="s">
        <v>74</v>
      </c>
      <c r="H180" t="s">
        <v>74</v>
      </c>
      <c r="I180" t="s">
        <v>2485</v>
      </c>
      <c r="J180" t="s">
        <v>2214</v>
      </c>
      <c r="K180" t="s">
        <v>2215</v>
      </c>
      <c r="L180" t="s">
        <v>74</v>
      </c>
      <c r="M180" t="s">
        <v>77</v>
      </c>
      <c r="N180" t="s">
        <v>2180</v>
      </c>
      <c r="O180" t="s">
        <v>2216</v>
      </c>
      <c r="P180" t="s">
        <v>2217</v>
      </c>
      <c r="Q180" t="s">
        <v>2218</v>
      </c>
      <c r="R180" t="s">
        <v>74</v>
      </c>
      <c r="S180" t="s">
        <v>74</v>
      </c>
      <c r="T180" t="s">
        <v>74</v>
      </c>
      <c r="U180" t="s">
        <v>74</v>
      </c>
      <c r="V180" t="s">
        <v>74</v>
      </c>
      <c r="W180" t="s">
        <v>2486</v>
      </c>
      <c r="X180" t="s">
        <v>2221</v>
      </c>
      <c r="Y180" t="s">
        <v>2487</v>
      </c>
      <c r="Z180" t="s">
        <v>74</v>
      </c>
      <c r="AA180" t="s">
        <v>2488</v>
      </c>
      <c r="AB180" t="s">
        <v>74</v>
      </c>
      <c r="AC180" t="s">
        <v>74</v>
      </c>
      <c r="AD180" t="s">
        <v>74</v>
      </c>
      <c r="AE180" t="s">
        <v>74</v>
      </c>
      <c r="AF180" t="s">
        <v>74</v>
      </c>
      <c r="AG180">
        <v>7</v>
      </c>
      <c r="AH180">
        <v>1</v>
      </c>
      <c r="AI180">
        <v>1</v>
      </c>
      <c r="AJ180">
        <v>0</v>
      </c>
      <c r="AK180">
        <v>0</v>
      </c>
      <c r="AL180" t="s">
        <v>2225</v>
      </c>
      <c r="AM180" t="s">
        <v>2226</v>
      </c>
      <c r="AN180" t="s">
        <v>2227</v>
      </c>
      <c r="AO180" t="s">
        <v>74</v>
      </c>
      <c r="AP180" t="s">
        <v>74</v>
      </c>
      <c r="AQ180" t="s">
        <v>2228</v>
      </c>
      <c r="AR180" t="s">
        <v>2229</v>
      </c>
      <c r="AS180" t="s">
        <v>74</v>
      </c>
      <c r="AT180" t="s">
        <v>74</v>
      </c>
      <c r="AU180">
        <v>1998</v>
      </c>
      <c r="AV180">
        <v>62</v>
      </c>
      <c r="AW180" t="s">
        <v>74</v>
      </c>
      <c r="AX180" t="s">
        <v>74</v>
      </c>
      <c r="AY180" t="s">
        <v>74</v>
      </c>
      <c r="AZ180" t="s">
        <v>74</v>
      </c>
      <c r="BA180" t="s">
        <v>74</v>
      </c>
      <c r="BB180">
        <v>393</v>
      </c>
      <c r="BC180">
        <v>398</v>
      </c>
      <c r="BD180" t="s">
        <v>74</v>
      </c>
      <c r="BE180" t="s">
        <v>74</v>
      </c>
      <c r="BF180" t="s">
        <v>74</v>
      </c>
      <c r="BG180" t="s">
        <v>74</v>
      </c>
      <c r="BH180" t="s">
        <v>74</v>
      </c>
      <c r="BI180">
        <v>6</v>
      </c>
      <c r="BJ180" t="s">
        <v>614</v>
      </c>
      <c r="BK180" t="s">
        <v>2189</v>
      </c>
      <c r="BL180" t="s">
        <v>614</v>
      </c>
      <c r="BM180" t="s">
        <v>2230</v>
      </c>
      <c r="BN180" t="s">
        <v>74</v>
      </c>
      <c r="BO180" t="s">
        <v>74</v>
      </c>
      <c r="BP180" t="s">
        <v>74</v>
      </c>
      <c r="BQ180" t="s">
        <v>74</v>
      </c>
      <c r="BR180" t="s">
        <v>101</v>
      </c>
      <c r="BS180" t="s">
        <v>2489</v>
      </c>
      <c r="BT180" t="str">
        <f>HYPERLINK("https%3A%2F%2Fwww.webofscience.com%2Fwos%2Fwoscc%2Ffull-record%2FWOS:000079334200035","View Full Record in Web of Science")</f>
        <v>View Full Record in Web of Science</v>
      </c>
    </row>
    <row r="181" spans="1:72" x14ac:dyDescent="0.15">
      <c r="A181" t="s">
        <v>72</v>
      </c>
      <c r="B181" t="s">
        <v>2490</v>
      </c>
      <c r="C181" t="s">
        <v>74</v>
      </c>
      <c r="D181" t="s">
        <v>74</v>
      </c>
      <c r="E181" t="s">
        <v>74</v>
      </c>
      <c r="F181" t="s">
        <v>2490</v>
      </c>
      <c r="G181" t="s">
        <v>74</v>
      </c>
      <c r="H181" t="s">
        <v>74</v>
      </c>
      <c r="I181" t="s">
        <v>2491</v>
      </c>
      <c r="J181" t="s">
        <v>2492</v>
      </c>
      <c r="K181" t="s">
        <v>74</v>
      </c>
      <c r="L181" t="s">
        <v>74</v>
      </c>
      <c r="M181" t="s">
        <v>77</v>
      </c>
      <c r="N181" t="s">
        <v>78</v>
      </c>
      <c r="O181" t="s">
        <v>74</v>
      </c>
      <c r="P181" t="s">
        <v>74</v>
      </c>
      <c r="Q181" t="s">
        <v>74</v>
      </c>
      <c r="R181" t="s">
        <v>74</v>
      </c>
      <c r="S181" t="s">
        <v>74</v>
      </c>
      <c r="T181" t="s">
        <v>74</v>
      </c>
      <c r="U181" t="s">
        <v>74</v>
      </c>
      <c r="V181" t="s">
        <v>2493</v>
      </c>
      <c r="W181" t="s">
        <v>2494</v>
      </c>
      <c r="X181" t="s">
        <v>1155</v>
      </c>
      <c r="Y181" t="s">
        <v>2495</v>
      </c>
      <c r="Z181" t="s">
        <v>74</v>
      </c>
      <c r="AA181" t="s">
        <v>74</v>
      </c>
      <c r="AB181" t="s">
        <v>74</v>
      </c>
      <c r="AC181" t="s">
        <v>74</v>
      </c>
      <c r="AD181" t="s">
        <v>74</v>
      </c>
      <c r="AE181" t="s">
        <v>74</v>
      </c>
      <c r="AF181" t="s">
        <v>74</v>
      </c>
      <c r="AG181">
        <v>15</v>
      </c>
      <c r="AH181">
        <v>5</v>
      </c>
      <c r="AI181">
        <v>6</v>
      </c>
      <c r="AJ181">
        <v>0</v>
      </c>
      <c r="AK181">
        <v>2</v>
      </c>
      <c r="AL181" t="s">
        <v>2496</v>
      </c>
      <c r="AM181" t="s">
        <v>2497</v>
      </c>
      <c r="AN181" t="s">
        <v>2498</v>
      </c>
      <c r="AO181" t="s">
        <v>2499</v>
      </c>
      <c r="AP181" t="s">
        <v>74</v>
      </c>
      <c r="AQ181" t="s">
        <v>74</v>
      </c>
      <c r="AR181" t="s">
        <v>2500</v>
      </c>
      <c r="AS181" t="s">
        <v>2501</v>
      </c>
      <c r="AT181" t="s">
        <v>2502</v>
      </c>
      <c r="AU181">
        <v>1998</v>
      </c>
      <c r="AV181">
        <v>43</v>
      </c>
      <c r="AW181">
        <v>1</v>
      </c>
      <c r="AX181" t="s">
        <v>74</v>
      </c>
      <c r="AY181" t="s">
        <v>74</v>
      </c>
      <c r="AZ181" t="s">
        <v>74</v>
      </c>
      <c r="BA181" t="s">
        <v>74</v>
      </c>
      <c r="BB181">
        <v>26</v>
      </c>
      <c r="BC181">
        <v>29</v>
      </c>
      <c r="BD181" t="s">
        <v>74</v>
      </c>
      <c r="BE181" t="s">
        <v>74</v>
      </c>
      <c r="BF181" t="s">
        <v>74</v>
      </c>
      <c r="BG181" t="s">
        <v>74</v>
      </c>
      <c r="BH181" t="s">
        <v>74</v>
      </c>
      <c r="BI181">
        <v>4</v>
      </c>
      <c r="BJ181" t="s">
        <v>2503</v>
      </c>
      <c r="BK181" t="s">
        <v>98</v>
      </c>
      <c r="BL181" t="s">
        <v>2503</v>
      </c>
      <c r="BM181" t="s">
        <v>2504</v>
      </c>
      <c r="BN181" t="s">
        <v>74</v>
      </c>
      <c r="BO181" t="s">
        <v>74</v>
      </c>
      <c r="BP181" t="s">
        <v>74</v>
      </c>
      <c r="BQ181" t="s">
        <v>74</v>
      </c>
      <c r="BR181" t="s">
        <v>101</v>
      </c>
      <c r="BS181" t="s">
        <v>2505</v>
      </c>
      <c r="BT181" t="str">
        <f>HYPERLINK("https%3A%2F%2Fwww.webofscience.com%2Fwos%2Fwoscc%2Ffull-record%2FWOS:000072928600005","View Full Record in Web of Science")</f>
        <v>View Full Record in Web of Science</v>
      </c>
    </row>
    <row r="182" spans="1:72" x14ac:dyDescent="0.15">
      <c r="A182" t="s">
        <v>72</v>
      </c>
      <c r="B182" t="s">
        <v>2506</v>
      </c>
      <c r="C182" t="s">
        <v>74</v>
      </c>
      <c r="D182" t="s">
        <v>74</v>
      </c>
      <c r="E182" t="s">
        <v>74</v>
      </c>
      <c r="F182" t="s">
        <v>2506</v>
      </c>
      <c r="G182" t="s">
        <v>74</v>
      </c>
      <c r="H182" t="s">
        <v>74</v>
      </c>
      <c r="I182" t="s">
        <v>2507</v>
      </c>
      <c r="J182" t="s">
        <v>1207</v>
      </c>
      <c r="K182" t="s">
        <v>74</v>
      </c>
      <c r="L182" t="s">
        <v>74</v>
      </c>
      <c r="M182" t="s">
        <v>77</v>
      </c>
      <c r="N182" t="s">
        <v>78</v>
      </c>
      <c r="O182" t="s">
        <v>74</v>
      </c>
      <c r="P182" t="s">
        <v>74</v>
      </c>
      <c r="Q182" t="s">
        <v>74</v>
      </c>
      <c r="R182" t="s">
        <v>74</v>
      </c>
      <c r="S182" t="s">
        <v>74</v>
      </c>
      <c r="T182" t="s">
        <v>2508</v>
      </c>
      <c r="U182" t="s">
        <v>74</v>
      </c>
      <c r="V182" t="s">
        <v>2509</v>
      </c>
      <c r="W182" t="s">
        <v>2510</v>
      </c>
      <c r="X182" t="s">
        <v>2511</v>
      </c>
      <c r="Y182" t="s">
        <v>2512</v>
      </c>
      <c r="Z182" t="s">
        <v>2513</v>
      </c>
      <c r="AA182" t="s">
        <v>74</v>
      </c>
      <c r="AB182" t="s">
        <v>74</v>
      </c>
      <c r="AC182" t="s">
        <v>74</v>
      </c>
      <c r="AD182" t="s">
        <v>74</v>
      </c>
      <c r="AE182" t="s">
        <v>74</v>
      </c>
      <c r="AF182" t="s">
        <v>74</v>
      </c>
      <c r="AG182">
        <v>18</v>
      </c>
      <c r="AH182">
        <v>11</v>
      </c>
      <c r="AI182">
        <v>11</v>
      </c>
      <c r="AJ182">
        <v>0</v>
      </c>
      <c r="AK182">
        <v>1</v>
      </c>
      <c r="AL182" t="s">
        <v>1215</v>
      </c>
      <c r="AM182" t="s">
        <v>1216</v>
      </c>
      <c r="AN182" t="s">
        <v>1217</v>
      </c>
      <c r="AO182" t="s">
        <v>1218</v>
      </c>
      <c r="AP182" t="s">
        <v>1219</v>
      </c>
      <c r="AQ182" t="s">
        <v>74</v>
      </c>
      <c r="AR182" t="s">
        <v>1220</v>
      </c>
      <c r="AS182" t="s">
        <v>1221</v>
      </c>
      <c r="AT182" t="s">
        <v>74</v>
      </c>
      <c r="AU182">
        <v>1998</v>
      </c>
      <c r="AV182">
        <v>37</v>
      </c>
      <c r="AW182">
        <v>2</v>
      </c>
      <c r="AX182" t="s">
        <v>74</v>
      </c>
      <c r="AY182" t="s">
        <v>74</v>
      </c>
      <c r="AZ182" t="s">
        <v>74</v>
      </c>
      <c r="BA182" t="s">
        <v>74</v>
      </c>
      <c r="BB182">
        <v>101</v>
      </c>
      <c r="BC182">
        <v>111</v>
      </c>
      <c r="BD182" t="s">
        <v>74</v>
      </c>
      <c r="BE182" t="s">
        <v>74</v>
      </c>
      <c r="BF182" t="s">
        <v>74</v>
      </c>
      <c r="BG182" t="s">
        <v>74</v>
      </c>
      <c r="BH182" t="s">
        <v>74</v>
      </c>
      <c r="BI182">
        <v>11</v>
      </c>
      <c r="BJ182" t="s">
        <v>1223</v>
      </c>
      <c r="BK182" t="s">
        <v>98</v>
      </c>
      <c r="BL182" t="s">
        <v>1223</v>
      </c>
      <c r="BM182" t="s">
        <v>2514</v>
      </c>
      <c r="BN182" t="s">
        <v>74</v>
      </c>
      <c r="BO182" t="s">
        <v>74</v>
      </c>
      <c r="BP182" t="s">
        <v>74</v>
      </c>
      <c r="BQ182" t="s">
        <v>74</v>
      </c>
      <c r="BR182" t="s">
        <v>101</v>
      </c>
      <c r="BS182" t="s">
        <v>2515</v>
      </c>
      <c r="BT182" t="str">
        <f>HYPERLINK("https%3A%2F%2Fwww.webofscience.com%2Fwos%2Fwoscc%2Ffull-record%2FWOS:000074023000004","View Full Record in Web of Science")</f>
        <v>View Full Record in Web of Science</v>
      </c>
    </row>
    <row r="183" spans="1:72" x14ac:dyDescent="0.15">
      <c r="A183" t="s">
        <v>1540</v>
      </c>
      <c r="B183" t="s">
        <v>2516</v>
      </c>
      <c r="C183" t="s">
        <v>74</v>
      </c>
      <c r="D183" t="s">
        <v>2517</v>
      </c>
      <c r="E183" t="s">
        <v>74</v>
      </c>
      <c r="F183" t="s">
        <v>2516</v>
      </c>
      <c r="G183" t="s">
        <v>74</v>
      </c>
      <c r="H183" t="s">
        <v>74</v>
      </c>
      <c r="I183" t="s">
        <v>2518</v>
      </c>
      <c r="J183" t="s">
        <v>2519</v>
      </c>
      <c r="K183" t="s">
        <v>2520</v>
      </c>
      <c r="L183" t="s">
        <v>74</v>
      </c>
      <c r="M183" t="s">
        <v>77</v>
      </c>
      <c r="N183" t="s">
        <v>379</v>
      </c>
      <c r="O183" t="s">
        <v>2521</v>
      </c>
      <c r="P183" t="s">
        <v>2522</v>
      </c>
      <c r="Q183" t="s">
        <v>2523</v>
      </c>
      <c r="R183" t="s">
        <v>74</v>
      </c>
      <c r="S183" t="s">
        <v>74</v>
      </c>
      <c r="T183" t="s">
        <v>74</v>
      </c>
      <c r="U183" t="s">
        <v>74</v>
      </c>
      <c r="V183" t="s">
        <v>2524</v>
      </c>
      <c r="W183" t="s">
        <v>2525</v>
      </c>
      <c r="X183" t="s">
        <v>2526</v>
      </c>
      <c r="Y183" t="s">
        <v>2527</v>
      </c>
      <c r="Z183" t="s">
        <v>74</v>
      </c>
      <c r="AA183" t="s">
        <v>2528</v>
      </c>
      <c r="AB183" t="s">
        <v>2529</v>
      </c>
      <c r="AC183" t="s">
        <v>74</v>
      </c>
      <c r="AD183" t="s">
        <v>74</v>
      </c>
      <c r="AE183" t="s">
        <v>74</v>
      </c>
      <c r="AF183" t="s">
        <v>74</v>
      </c>
      <c r="AG183">
        <v>8</v>
      </c>
      <c r="AH183">
        <v>3</v>
      </c>
      <c r="AI183">
        <v>3</v>
      </c>
      <c r="AJ183">
        <v>0</v>
      </c>
      <c r="AK183">
        <v>1</v>
      </c>
      <c r="AL183" t="s">
        <v>2530</v>
      </c>
      <c r="AM183" t="s">
        <v>214</v>
      </c>
      <c r="AN183" t="s">
        <v>2531</v>
      </c>
      <c r="AO183" t="s">
        <v>2532</v>
      </c>
      <c r="AP183" t="s">
        <v>74</v>
      </c>
      <c r="AQ183" t="s">
        <v>2533</v>
      </c>
      <c r="AR183" t="s">
        <v>2534</v>
      </c>
      <c r="AS183" t="s">
        <v>74</v>
      </c>
      <c r="AT183" t="s">
        <v>74</v>
      </c>
      <c r="AU183">
        <v>1998</v>
      </c>
      <c r="AV183">
        <v>21</v>
      </c>
      <c r="AW183">
        <v>7</v>
      </c>
      <c r="AX183" t="s">
        <v>74</v>
      </c>
      <c r="AY183" t="s">
        <v>74</v>
      </c>
      <c r="AZ183" t="s">
        <v>74</v>
      </c>
      <c r="BA183" t="s">
        <v>74</v>
      </c>
      <c r="BB183">
        <v>959</v>
      </c>
      <c r="BC183">
        <v>967</v>
      </c>
      <c r="BD183" t="s">
        <v>74</v>
      </c>
      <c r="BE183" t="s">
        <v>2535</v>
      </c>
      <c r="BF183" t="str">
        <f>HYPERLINK("http://dx.doi.org/10.1016/S0273-1177(97)01080-6","http://dx.doi.org/10.1016/S0273-1177(97)01080-6")</f>
        <v>http://dx.doi.org/10.1016/S0273-1177(97)01080-6</v>
      </c>
      <c r="BG183" t="s">
        <v>74</v>
      </c>
      <c r="BH183" t="s">
        <v>74</v>
      </c>
      <c r="BI183">
        <v>9</v>
      </c>
      <c r="BJ183" t="s">
        <v>2536</v>
      </c>
      <c r="BK183" t="s">
        <v>397</v>
      </c>
      <c r="BL183" t="s">
        <v>2537</v>
      </c>
      <c r="BM183" t="s">
        <v>2538</v>
      </c>
      <c r="BN183" t="s">
        <v>74</v>
      </c>
      <c r="BO183" t="s">
        <v>74</v>
      </c>
      <c r="BP183" t="s">
        <v>74</v>
      </c>
      <c r="BQ183" t="s">
        <v>74</v>
      </c>
      <c r="BR183" t="s">
        <v>101</v>
      </c>
      <c r="BS183" t="s">
        <v>2539</v>
      </c>
      <c r="BT183" t="str">
        <f>HYPERLINK("https%3A%2F%2Fwww.webofscience.com%2Fwos%2Fwoscc%2Ffull-record%2FWOS:000074073000005","View Full Record in Web of Science")</f>
        <v>View Full Record in Web of Science</v>
      </c>
    </row>
    <row r="184" spans="1:72" x14ac:dyDescent="0.15">
      <c r="A184" t="s">
        <v>1540</v>
      </c>
      <c r="B184" t="s">
        <v>2540</v>
      </c>
      <c r="C184" t="s">
        <v>74</v>
      </c>
      <c r="D184" t="s">
        <v>2541</v>
      </c>
      <c r="E184" t="s">
        <v>74</v>
      </c>
      <c r="F184" t="s">
        <v>2540</v>
      </c>
      <c r="G184" t="s">
        <v>74</v>
      </c>
      <c r="H184" t="s">
        <v>74</v>
      </c>
      <c r="I184" t="s">
        <v>2542</v>
      </c>
      <c r="J184" t="s">
        <v>2543</v>
      </c>
      <c r="K184" t="s">
        <v>2544</v>
      </c>
      <c r="L184" t="s">
        <v>74</v>
      </c>
      <c r="M184" t="s">
        <v>77</v>
      </c>
      <c r="N184" t="s">
        <v>379</v>
      </c>
      <c r="O184" t="s">
        <v>2545</v>
      </c>
      <c r="P184" t="s">
        <v>2546</v>
      </c>
      <c r="Q184" t="s">
        <v>2523</v>
      </c>
      <c r="R184" t="s">
        <v>74</v>
      </c>
      <c r="S184" t="s">
        <v>74</v>
      </c>
      <c r="T184" t="s">
        <v>74</v>
      </c>
      <c r="U184" t="s">
        <v>74</v>
      </c>
      <c r="V184" t="s">
        <v>2547</v>
      </c>
      <c r="W184" t="s">
        <v>851</v>
      </c>
      <c r="X184" t="s">
        <v>852</v>
      </c>
      <c r="Y184" t="s">
        <v>2548</v>
      </c>
      <c r="Z184" t="s">
        <v>74</v>
      </c>
      <c r="AA184" t="s">
        <v>2549</v>
      </c>
      <c r="AB184" t="s">
        <v>2550</v>
      </c>
      <c r="AC184" t="s">
        <v>74</v>
      </c>
      <c r="AD184" t="s">
        <v>74</v>
      </c>
      <c r="AE184" t="s">
        <v>74</v>
      </c>
      <c r="AF184" t="s">
        <v>74</v>
      </c>
      <c r="AG184">
        <v>2</v>
      </c>
      <c r="AH184">
        <v>1</v>
      </c>
      <c r="AI184">
        <v>1</v>
      </c>
      <c r="AJ184">
        <v>0</v>
      </c>
      <c r="AK184">
        <v>0</v>
      </c>
      <c r="AL184" t="s">
        <v>2530</v>
      </c>
      <c r="AM184" t="s">
        <v>214</v>
      </c>
      <c r="AN184" t="s">
        <v>2531</v>
      </c>
      <c r="AO184" t="s">
        <v>2532</v>
      </c>
      <c r="AP184" t="s">
        <v>74</v>
      </c>
      <c r="AQ184" t="s">
        <v>2551</v>
      </c>
      <c r="AR184" t="s">
        <v>2552</v>
      </c>
      <c r="AS184" t="s">
        <v>74</v>
      </c>
      <c r="AT184" t="s">
        <v>74</v>
      </c>
      <c r="AU184">
        <v>1998</v>
      </c>
      <c r="AV184">
        <v>21</v>
      </c>
      <c r="AW184">
        <v>5</v>
      </c>
      <c r="AX184" t="s">
        <v>74</v>
      </c>
      <c r="AY184" t="s">
        <v>74</v>
      </c>
      <c r="AZ184" t="s">
        <v>74</v>
      </c>
      <c r="BA184" t="s">
        <v>74</v>
      </c>
      <c r="BB184">
        <v>749</v>
      </c>
      <c r="BC184">
        <v>752</v>
      </c>
      <c r="BD184" t="s">
        <v>74</v>
      </c>
      <c r="BE184" t="s">
        <v>2553</v>
      </c>
      <c r="BF184" t="str">
        <f>HYPERLINK("http://dx.doi.org/10.1016/S0273-1177(97)01017-X","http://dx.doi.org/10.1016/S0273-1177(97)01017-X")</f>
        <v>http://dx.doi.org/10.1016/S0273-1177(97)01017-X</v>
      </c>
      <c r="BG184" t="s">
        <v>74</v>
      </c>
      <c r="BH184" t="s">
        <v>74</v>
      </c>
      <c r="BI184">
        <v>4</v>
      </c>
      <c r="BJ184" t="s">
        <v>2554</v>
      </c>
      <c r="BK184" t="s">
        <v>397</v>
      </c>
      <c r="BL184" t="s">
        <v>2555</v>
      </c>
      <c r="BM184" t="s">
        <v>2556</v>
      </c>
      <c r="BN184" t="s">
        <v>74</v>
      </c>
      <c r="BO184" t="s">
        <v>74</v>
      </c>
      <c r="BP184" t="s">
        <v>74</v>
      </c>
      <c r="BQ184" t="s">
        <v>74</v>
      </c>
      <c r="BR184" t="s">
        <v>101</v>
      </c>
      <c r="BS184" t="s">
        <v>2557</v>
      </c>
      <c r="BT184" t="str">
        <f>HYPERLINK("https%3A%2F%2Fwww.webofscience.com%2Fwos%2Fwoscc%2Ffull-record%2FWOS:000075683500019","View Full Record in Web of Science")</f>
        <v>View Full Record in Web of Science</v>
      </c>
    </row>
    <row r="185" spans="1:72" x14ac:dyDescent="0.15">
      <c r="A185" t="s">
        <v>2175</v>
      </c>
      <c r="B185" t="s">
        <v>2558</v>
      </c>
      <c r="C185" t="s">
        <v>74</v>
      </c>
      <c r="D185" t="s">
        <v>2559</v>
      </c>
      <c r="E185" t="s">
        <v>74</v>
      </c>
      <c r="F185" t="s">
        <v>2558</v>
      </c>
      <c r="G185" t="s">
        <v>74</v>
      </c>
      <c r="H185" t="s">
        <v>74</v>
      </c>
      <c r="I185" t="s">
        <v>2560</v>
      </c>
      <c r="J185" t="s">
        <v>2561</v>
      </c>
      <c r="K185" t="s">
        <v>2562</v>
      </c>
      <c r="L185" t="s">
        <v>74</v>
      </c>
      <c r="M185" t="s">
        <v>77</v>
      </c>
      <c r="N185" t="s">
        <v>2180</v>
      </c>
      <c r="O185" t="s">
        <v>2563</v>
      </c>
      <c r="P185" t="s">
        <v>2564</v>
      </c>
      <c r="Q185" t="s">
        <v>2565</v>
      </c>
      <c r="R185" t="s">
        <v>74</v>
      </c>
      <c r="S185" t="s">
        <v>74</v>
      </c>
      <c r="T185" t="s">
        <v>2566</v>
      </c>
      <c r="U185" t="s">
        <v>74</v>
      </c>
      <c r="V185" t="s">
        <v>2567</v>
      </c>
      <c r="W185" t="s">
        <v>2568</v>
      </c>
      <c r="X185" t="s">
        <v>2569</v>
      </c>
      <c r="Y185" t="s">
        <v>2570</v>
      </c>
      <c r="Z185" t="s">
        <v>74</v>
      </c>
      <c r="AA185" t="s">
        <v>2571</v>
      </c>
      <c r="AB185" t="s">
        <v>2572</v>
      </c>
      <c r="AC185" t="s">
        <v>74</v>
      </c>
      <c r="AD185" t="s">
        <v>74</v>
      </c>
      <c r="AE185" t="s">
        <v>74</v>
      </c>
      <c r="AF185" t="s">
        <v>74</v>
      </c>
      <c r="AG185">
        <v>0</v>
      </c>
      <c r="AH185">
        <v>7</v>
      </c>
      <c r="AI185">
        <v>7</v>
      </c>
      <c r="AJ185">
        <v>0</v>
      </c>
      <c r="AK185">
        <v>1</v>
      </c>
      <c r="AL185" t="s">
        <v>2573</v>
      </c>
      <c r="AM185" t="s">
        <v>2574</v>
      </c>
      <c r="AN185" t="s">
        <v>2575</v>
      </c>
      <c r="AO185" t="s">
        <v>2576</v>
      </c>
      <c r="AP185" t="s">
        <v>74</v>
      </c>
      <c r="AQ185" t="s">
        <v>2577</v>
      </c>
      <c r="AR185" t="s">
        <v>2578</v>
      </c>
      <c r="AS185" t="s">
        <v>74</v>
      </c>
      <c r="AT185" t="s">
        <v>74</v>
      </c>
      <c r="AU185">
        <v>1998</v>
      </c>
      <c r="AV185">
        <v>3357</v>
      </c>
      <c r="AW185" t="s">
        <v>74</v>
      </c>
      <c r="AX185" t="s">
        <v>74</v>
      </c>
      <c r="AY185" t="s">
        <v>74</v>
      </c>
      <c r="AZ185" t="s">
        <v>74</v>
      </c>
      <c r="BA185" t="s">
        <v>74</v>
      </c>
      <c r="BB185">
        <v>495</v>
      </c>
      <c r="BC185">
        <v>506</v>
      </c>
      <c r="BD185" t="s">
        <v>74</v>
      </c>
      <c r="BE185" t="s">
        <v>2579</v>
      </c>
      <c r="BF185" t="str">
        <f>HYPERLINK("http://dx.doi.org/10.1117/12.317383","http://dx.doi.org/10.1117/12.317383")</f>
        <v>http://dx.doi.org/10.1117/12.317383</v>
      </c>
      <c r="BG185" t="s">
        <v>74</v>
      </c>
      <c r="BH185" t="s">
        <v>74</v>
      </c>
      <c r="BI185">
        <v>12</v>
      </c>
      <c r="BJ185" t="s">
        <v>2580</v>
      </c>
      <c r="BK185" t="s">
        <v>2189</v>
      </c>
      <c r="BL185" t="s">
        <v>2580</v>
      </c>
      <c r="BM185" t="s">
        <v>2581</v>
      </c>
      <c r="BN185" t="s">
        <v>74</v>
      </c>
      <c r="BO185" t="s">
        <v>2582</v>
      </c>
      <c r="BP185" t="s">
        <v>74</v>
      </c>
      <c r="BQ185" t="s">
        <v>74</v>
      </c>
      <c r="BR185" t="s">
        <v>101</v>
      </c>
      <c r="BS185" t="s">
        <v>2583</v>
      </c>
      <c r="BT185" t="str">
        <f>HYPERLINK("https%3A%2F%2Fwww.webofscience.com%2Fwos%2Fwoscc%2Ffull-record%2FWOS:000075850400051","View Full Record in Web of Science")</f>
        <v>View Full Record in Web of Science</v>
      </c>
    </row>
    <row r="186" spans="1:72" x14ac:dyDescent="0.15">
      <c r="A186" t="s">
        <v>2175</v>
      </c>
      <c r="B186" t="s">
        <v>2584</v>
      </c>
      <c r="C186" t="s">
        <v>74</v>
      </c>
      <c r="D186" t="s">
        <v>2559</v>
      </c>
      <c r="E186" t="s">
        <v>74</v>
      </c>
      <c r="F186" t="s">
        <v>2584</v>
      </c>
      <c r="G186" t="s">
        <v>74</v>
      </c>
      <c r="H186" t="s">
        <v>74</v>
      </c>
      <c r="I186" t="s">
        <v>2585</v>
      </c>
      <c r="J186" t="s">
        <v>2561</v>
      </c>
      <c r="K186" t="s">
        <v>2562</v>
      </c>
      <c r="L186" t="s">
        <v>74</v>
      </c>
      <c r="M186" t="s">
        <v>77</v>
      </c>
      <c r="N186" t="s">
        <v>2180</v>
      </c>
      <c r="O186" t="s">
        <v>2563</v>
      </c>
      <c r="P186" t="s">
        <v>2564</v>
      </c>
      <c r="Q186" t="s">
        <v>2565</v>
      </c>
      <c r="R186" t="s">
        <v>74</v>
      </c>
      <c r="S186" t="s">
        <v>74</v>
      </c>
      <c r="T186" t="s">
        <v>2586</v>
      </c>
      <c r="U186" t="s">
        <v>74</v>
      </c>
      <c r="V186" t="s">
        <v>2587</v>
      </c>
      <c r="W186" t="s">
        <v>2588</v>
      </c>
      <c r="X186" t="s">
        <v>2589</v>
      </c>
      <c r="Y186" t="s">
        <v>2590</v>
      </c>
      <c r="Z186" t="s">
        <v>74</v>
      </c>
      <c r="AA186" t="s">
        <v>2591</v>
      </c>
      <c r="AB186" t="s">
        <v>74</v>
      </c>
      <c r="AC186" t="s">
        <v>74</v>
      </c>
      <c r="AD186" t="s">
        <v>74</v>
      </c>
      <c r="AE186" t="s">
        <v>74</v>
      </c>
      <c r="AF186" t="s">
        <v>74</v>
      </c>
      <c r="AG186">
        <v>0</v>
      </c>
      <c r="AH186">
        <v>6</v>
      </c>
      <c r="AI186">
        <v>6</v>
      </c>
      <c r="AJ186">
        <v>0</v>
      </c>
      <c r="AK186">
        <v>0</v>
      </c>
      <c r="AL186" t="s">
        <v>2573</v>
      </c>
      <c r="AM186" t="s">
        <v>2574</v>
      </c>
      <c r="AN186" t="s">
        <v>2575</v>
      </c>
      <c r="AO186" t="s">
        <v>2576</v>
      </c>
      <c r="AP186" t="s">
        <v>74</v>
      </c>
      <c r="AQ186" t="s">
        <v>2577</v>
      </c>
      <c r="AR186" t="s">
        <v>2578</v>
      </c>
      <c r="AS186" t="s">
        <v>74</v>
      </c>
      <c r="AT186" t="s">
        <v>74</v>
      </c>
      <c r="AU186">
        <v>1998</v>
      </c>
      <c r="AV186">
        <v>3357</v>
      </c>
      <c r="AW186" t="s">
        <v>74</v>
      </c>
      <c r="AX186" t="s">
        <v>74</v>
      </c>
      <c r="AY186" t="s">
        <v>74</v>
      </c>
      <c r="AZ186" t="s">
        <v>74</v>
      </c>
      <c r="BA186" t="s">
        <v>74</v>
      </c>
      <c r="BB186">
        <v>543</v>
      </c>
      <c r="BC186">
        <v>547</v>
      </c>
      <c r="BD186" t="s">
        <v>74</v>
      </c>
      <c r="BE186" t="s">
        <v>2592</v>
      </c>
      <c r="BF186" t="str">
        <f>HYPERLINK("http://dx.doi.org/10.1117/12.317388","http://dx.doi.org/10.1117/12.317388")</f>
        <v>http://dx.doi.org/10.1117/12.317388</v>
      </c>
      <c r="BG186" t="s">
        <v>74</v>
      </c>
      <c r="BH186" t="s">
        <v>74</v>
      </c>
      <c r="BI186">
        <v>5</v>
      </c>
      <c r="BJ186" t="s">
        <v>2580</v>
      </c>
      <c r="BK186" t="s">
        <v>2189</v>
      </c>
      <c r="BL186" t="s">
        <v>2580</v>
      </c>
      <c r="BM186" t="s">
        <v>2581</v>
      </c>
      <c r="BN186" t="s">
        <v>74</v>
      </c>
      <c r="BO186" t="s">
        <v>74</v>
      </c>
      <c r="BP186" t="s">
        <v>74</v>
      </c>
      <c r="BQ186" t="s">
        <v>74</v>
      </c>
      <c r="BR186" t="s">
        <v>101</v>
      </c>
      <c r="BS186" t="s">
        <v>2593</v>
      </c>
      <c r="BT186" t="str">
        <f>HYPERLINK("https%3A%2F%2Fwww.webofscience.com%2Fwos%2Fwoscc%2Ffull-record%2FWOS:000075850400055","View Full Record in Web of Science")</f>
        <v>View Full Record in Web of Science</v>
      </c>
    </row>
    <row r="187" spans="1:72" x14ac:dyDescent="0.15">
      <c r="A187" t="s">
        <v>2175</v>
      </c>
      <c r="B187" t="s">
        <v>2594</v>
      </c>
      <c r="C187" t="s">
        <v>74</v>
      </c>
      <c r="D187" t="s">
        <v>2595</v>
      </c>
      <c r="E187" t="s">
        <v>74</v>
      </c>
      <c r="F187" t="s">
        <v>2594</v>
      </c>
      <c r="G187" t="s">
        <v>74</v>
      </c>
      <c r="H187" t="s">
        <v>74</v>
      </c>
      <c r="I187" t="s">
        <v>2596</v>
      </c>
      <c r="J187" t="s">
        <v>2597</v>
      </c>
      <c r="K187" t="s">
        <v>2598</v>
      </c>
      <c r="L187" t="s">
        <v>74</v>
      </c>
      <c r="M187" t="s">
        <v>77</v>
      </c>
      <c r="N187" t="s">
        <v>2180</v>
      </c>
      <c r="O187" t="s">
        <v>2599</v>
      </c>
      <c r="P187">
        <v>1997</v>
      </c>
      <c r="Q187" t="s">
        <v>2600</v>
      </c>
      <c r="R187" t="s">
        <v>74</v>
      </c>
      <c r="S187" t="s">
        <v>74</v>
      </c>
      <c r="T187" t="s">
        <v>74</v>
      </c>
      <c r="U187" t="s">
        <v>74</v>
      </c>
      <c r="V187" t="s">
        <v>2601</v>
      </c>
      <c r="W187" t="s">
        <v>2602</v>
      </c>
      <c r="X187" t="s">
        <v>74</v>
      </c>
      <c r="Y187" t="s">
        <v>2603</v>
      </c>
      <c r="Z187" t="s">
        <v>74</v>
      </c>
      <c r="AA187" t="s">
        <v>74</v>
      </c>
      <c r="AB187" t="s">
        <v>74</v>
      </c>
      <c r="AC187" t="s">
        <v>74</v>
      </c>
      <c r="AD187" t="s">
        <v>74</v>
      </c>
      <c r="AE187" t="s">
        <v>74</v>
      </c>
      <c r="AF187" t="s">
        <v>74</v>
      </c>
      <c r="AG187">
        <v>0</v>
      </c>
      <c r="AH187">
        <v>0</v>
      </c>
      <c r="AI187">
        <v>0</v>
      </c>
      <c r="AJ187">
        <v>0</v>
      </c>
      <c r="AK187">
        <v>0</v>
      </c>
      <c r="AL187" t="s">
        <v>2604</v>
      </c>
      <c r="AM187" t="s">
        <v>244</v>
      </c>
      <c r="AN187" t="s">
        <v>1400</v>
      </c>
      <c r="AO187" t="s">
        <v>2605</v>
      </c>
      <c r="AP187" t="s">
        <v>74</v>
      </c>
      <c r="AQ187" t="s">
        <v>2606</v>
      </c>
      <c r="AR187" t="s">
        <v>2607</v>
      </c>
      <c r="AS187" t="s">
        <v>74</v>
      </c>
      <c r="AT187" t="s">
        <v>74</v>
      </c>
      <c r="AU187">
        <v>1998</v>
      </c>
      <c r="AV187">
        <v>43</v>
      </c>
      <c r="AW187" t="s">
        <v>74</v>
      </c>
      <c r="AX187" t="s">
        <v>2608</v>
      </c>
      <c r="AY187" t="s">
        <v>74</v>
      </c>
      <c r="AZ187" t="s">
        <v>74</v>
      </c>
      <c r="BA187" t="s">
        <v>74</v>
      </c>
      <c r="BB187">
        <v>1031</v>
      </c>
      <c r="BC187">
        <v>1035</v>
      </c>
      <c r="BD187" t="s">
        <v>74</v>
      </c>
      <c r="BE187" t="s">
        <v>74</v>
      </c>
      <c r="BF187" t="s">
        <v>74</v>
      </c>
      <c r="BG187" t="s">
        <v>74</v>
      </c>
      <c r="BH187" t="s">
        <v>74</v>
      </c>
      <c r="BI187">
        <v>3</v>
      </c>
      <c r="BJ187" t="s">
        <v>2609</v>
      </c>
      <c r="BK187" t="s">
        <v>2189</v>
      </c>
      <c r="BL187" t="s">
        <v>2610</v>
      </c>
      <c r="BM187" t="s">
        <v>2611</v>
      </c>
      <c r="BN187" t="s">
        <v>74</v>
      </c>
      <c r="BO187" t="s">
        <v>74</v>
      </c>
      <c r="BP187" t="s">
        <v>74</v>
      </c>
      <c r="BQ187" t="s">
        <v>74</v>
      </c>
      <c r="BR187" t="s">
        <v>101</v>
      </c>
      <c r="BS187" t="s">
        <v>2612</v>
      </c>
      <c r="BT187" t="str">
        <f>HYPERLINK("https%3A%2F%2Fwww.webofscience.com%2Fwos%2Fwoscc%2Ffull-record%2FWOS:000076284800130","View Full Record in Web of Science")</f>
        <v>View Full Record in Web of Science</v>
      </c>
    </row>
    <row r="188" spans="1:72" x14ac:dyDescent="0.15">
      <c r="A188" t="s">
        <v>2175</v>
      </c>
      <c r="B188" t="s">
        <v>2613</v>
      </c>
      <c r="C188" t="s">
        <v>74</v>
      </c>
      <c r="D188" t="s">
        <v>2595</v>
      </c>
      <c r="E188" t="s">
        <v>74</v>
      </c>
      <c r="F188" t="s">
        <v>2613</v>
      </c>
      <c r="G188" t="s">
        <v>74</v>
      </c>
      <c r="H188" t="s">
        <v>74</v>
      </c>
      <c r="I188" t="s">
        <v>2614</v>
      </c>
      <c r="J188" t="s">
        <v>2597</v>
      </c>
      <c r="K188" t="s">
        <v>2598</v>
      </c>
      <c r="L188" t="s">
        <v>74</v>
      </c>
      <c r="M188" t="s">
        <v>77</v>
      </c>
      <c r="N188" t="s">
        <v>2180</v>
      </c>
      <c r="O188" t="s">
        <v>2599</v>
      </c>
      <c r="P188">
        <v>1997</v>
      </c>
      <c r="Q188" t="s">
        <v>2600</v>
      </c>
      <c r="R188" t="s">
        <v>74</v>
      </c>
      <c r="S188" t="s">
        <v>74</v>
      </c>
      <c r="T188" t="s">
        <v>74</v>
      </c>
      <c r="U188" t="s">
        <v>74</v>
      </c>
      <c r="V188" t="s">
        <v>2615</v>
      </c>
      <c r="W188" t="s">
        <v>2616</v>
      </c>
      <c r="X188" t="s">
        <v>74</v>
      </c>
      <c r="Y188" t="s">
        <v>2617</v>
      </c>
      <c r="Z188" t="s">
        <v>74</v>
      </c>
      <c r="AA188" t="s">
        <v>74</v>
      </c>
      <c r="AB188" t="s">
        <v>74</v>
      </c>
      <c r="AC188" t="s">
        <v>74</v>
      </c>
      <c r="AD188" t="s">
        <v>74</v>
      </c>
      <c r="AE188" t="s">
        <v>74</v>
      </c>
      <c r="AF188" t="s">
        <v>74</v>
      </c>
      <c r="AG188">
        <v>0</v>
      </c>
      <c r="AH188">
        <v>0</v>
      </c>
      <c r="AI188">
        <v>0</v>
      </c>
      <c r="AJ188">
        <v>0</v>
      </c>
      <c r="AK188">
        <v>0</v>
      </c>
      <c r="AL188" t="s">
        <v>2604</v>
      </c>
      <c r="AM188" t="s">
        <v>244</v>
      </c>
      <c r="AN188" t="s">
        <v>1400</v>
      </c>
      <c r="AO188" t="s">
        <v>2605</v>
      </c>
      <c r="AP188" t="s">
        <v>74</v>
      </c>
      <c r="AQ188" t="s">
        <v>2606</v>
      </c>
      <c r="AR188" t="s">
        <v>2607</v>
      </c>
      <c r="AS188" t="s">
        <v>74</v>
      </c>
      <c r="AT188" t="s">
        <v>74</v>
      </c>
      <c r="AU188">
        <v>1998</v>
      </c>
      <c r="AV188">
        <v>43</v>
      </c>
      <c r="AW188" t="s">
        <v>74</v>
      </c>
      <c r="AX188" t="s">
        <v>2608</v>
      </c>
      <c r="AY188" t="s">
        <v>74</v>
      </c>
      <c r="AZ188" t="s">
        <v>74</v>
      </c>
      <c r="BA188" t="s">
        <v>74</v>
      </c>
      <c r="BB188">
        <v>1041</v>
      </c>
      <c r="BC188">
        <v>1045</v>
      </c>
      <c r="BD188" t="s">
        <v>74</v>
      </c>
      <c r="BE188" t="s">
        <v>74</v>
      </c>
      <c r="BF188" t="s">
        <v>74</v>
      </c>
      <c r="BG188" t="s">
        <v>74</v>
      </c>
      <c r="BH188" t="s">
        <v>74</v>
      </c>
      <c r="BI188">
        <v>3</v>
      </c>
      <c r="BJ188" t="s">
        <v>2609</v>
      </c>
      <c r="BK188" t="s">
        <v>2189</v>
      </c>
      <c r="BL188" t="s">
        <v>2610</v>
      </c>
      <c r="BM188" t="s">
        <v>2611</v>
      </c>
      <c r="BN188" t="s">
        <v>74</v>
      </c>
      <c r="BO188" t="s">
        <v>74</v>
      </c>
      <c r="BP188" t="s">
        <v>74</v>
      </c>
      <c r="BQ188" t="s">
        <v>74</v>
      </c>
      <c r="BR188" t="s">
        <v>101</v>
      </c>
      <c r="BS188" t="s">
        <v>2618</v>
      </c>
      <c r="BT188" t="str">
        <f>HYPERLINK("https%3A%2F%2Fwww.webofscience.com%2Fwos%2Fwoscc%2Ffull-record%2FWOS:000076284800132","View Full Record in Web of Science")</f>
        <v>View Full Record in Web of Science</v>
      </c>
    </row>
    <row r="189" spans="1:72" x14ac:dyDescent="0.15">
      <c r="A189" t="s">
        <v>2175</v>
      </c>
      <c r="B189" t="s">
        <v>2619</v>
      </c>
      <c r="C189" t="s">
        <v>74</v>
      </c>
      <c r="D189" t="s">
        <v>2620</v>
      </c>
      <c r="E189" t="s">
        <v>74</v>
      </c>
      <c r="F189" t="s">
        <v>2619</v>
      </c>
      <c r="G189" t="s">
        <v>74</v>
      </c>
      <c r="H189" t="s">
        <v>74</v>
      </c>
      <c r="I189" t="s">
        <v>2621</v>
      </c>
      <c r="J189" t="s">
        <v>2622</v>
      </c>
      <c r="K189" t="s">
        <v>2623</v>
      </c>
      <c r="L189" t="s">
        <v>74</v>
      </c>
      <c r="M189" t="s">
        <v>77</v>
      </c>
      <c r="N189" t="s">
        <v>2180</v>
      </c>
      <c r="O189" t="s">
        <v>2624</v>
      </c>
      <c r="P189">
        <v>1996</v>
      </c>
      <c r="Q189" t="s">
        <v>2625</v>
      </c>
      <c r="R189" t="s">
        <v>74</v>
      </c>
      <c r="S189" t="s">
        <v>74</v>
      </c>
      <c r="T189" t="s">
        <v>74</v>
      </c>
      <c r="U189" t="s">
        <v>74</v>
      </c>
      <c r="V189" t="s">
        <v>2626</v>
      </c>
      <c r="W189" t="s">
        <v>2627</v>
      </c>
      <c r="X189" t="s">
        <v>2628</v>
      </c>
      <c r="Y189" t="s">
        <v>2629</v>
      </c>
      <c r="Z189" t="s">
        <v>74</v>
      </c>
      <c r="AA189" t="s">
        <v>74</v>
      </c>
      <c r="AB189" t="s">
        <v>74</v>
      </c>
      <c r="AC189" t="s">
        <v>74</v>
      </c>
      <c r="AD189" t="s">
        <v>74</v>
      </c>
      <c r="AE189" t="s">
        <v>74</v>
      </c>
      <c r="AF189" t="s">
        <v>74</v>
      </c>
      <c r="AG189">
        <v>0</v>
      </c>
      <c r="AH189">
        <v>8</v>
      </c>
      <c r="AI189">
        <v>8</v>
      </c>
      <c r="AJ189">
        <v>0</v>
      </c>
      <c r="AK189">
        <v>5</v>
      </c>
      <c r="AL189" t="s">
        <v>914</v>
      </c>
      <c r="AM189" t="s">
        <v>855</v>
      </c>
      <c r="AN189" t="s">
        <v>2630</v>
      </c>
      <c r="AO189" t="s">
        <v>74</v>
      </c>
      <c r="AP189" t="s">
        <v>74</v>
      </c>
      <c r="AQ189" t="s">
        <v>2631</v>
      </c>
      <c r="AR189" t="s">
        <v>2632</v>
      </c>
      <c r="AS189" t="s">
        <v>74</v>
      </c>
      <c r="AT189" t="s">
        <v>74</v>
      </c>
      <c r="AU189">
        <v>1998</v>
      </c>
      <c r="AV189">
        <v>10</v>
      </c>
      <c r="AW189" t="s">
        <v>74</v>
      </c>
      <c r="AX189" t="s">
        <v>74</v>
      </c>
      <c r="AY189" t="s">
        <v>74</v>
      </c>
      <c r="AZ189" t="s">
        <v>74</v>
      </c>
      <c r="BA189" t="s">
        <v>74</v>
      </c>
      <c r="BB189">
        <v>225</v>
      </c>
      <c r="BC189">
        <v>240</v>
      </c>
      <c r="BD189" t="s">
        <v>74</v>
      </c>
      <c r="BE189" t="s">
        <v>74</v>
      </c>
      <c r="BF189" t="s">
        <v>74</v>
      </c>
      <c r="BG189" t="s">
        <v>74</v>
      </c>
      <c r="BH189" t="s">
        <v>74</v>
      </c>
      <c r="BI189">
        <v>16</v>
      </c>
      <c r="BJ189" t="s">
        <v>769</v>
      </c>
      <c r="BK189" t="s">
        <v>2189</v>
      </c>
      <c r="BL189" t="s">
        <v>471</v>
      </c>
      <c r="BM189" t="s">
        <v>2633</v>
      </c>
      <c r="BN189" t="s">
        <v>74</v>
      </c>
      <c r="BO189" t="s">
        <v>74</v>
      </c>
      <c r="BP189" t="s">
        <v>74</v>
      </c>
      <c r="BQ189" t="s">
        <v>74</v>
      </c>
      <c r="BR189" t="s">
        <v>101</v>
      </c>
      <c r="BS189" t="s">
        <v>2634</v>
      </c>
      <c r="BT189" t="str">
        <f>HYPERLINK("https%3A%2F%2Fwww.webofscience.com%2Fwos%2Fwoscc%2Ffull-record%2FWOS:000074738800014","View Full Record in Web of Science")</f>
        <v>View Full Record in Web of Science</v>
      </c>
    </row>
    <row r="190" spans="1:72" x14ac:dyDescent="0.15">
      <c r="A190" t="s">
        <v>2175</v>
      </c>
      <c r="B190" t="s">
        <v>2635</v>
      </c>
      <c r="C190" t="s">
        <v>74</v>
      </c>
      <c r="D190" t="s">
        <v>2636</v>
      </c>
      <c r="E190" t="s">
        <v>74</v>
      </c>
      <c r="F190" t="s">
        <v>2635</v>
      </c>
      <c r="G190" t="s">
        <v>74</v>
      </c>
      <c r="H190" t="s">
        <v>74</v>
      </c>
      <c r="I190" t="s">
        <v>2637</v>
      </c>
      <c r="J190" t="s">
        <v>2638</v>
      </c>
      <c r="K190" t="s">
        <v>2639</v>
      </c>
      <c r="L190" t="s">
        <v>74</v>
      </c>
      <c r="M190" t="s">
        <v>77</v>
      </c>
      <c r="N190" t="s">
        <v>2180</v>
      </c>
      <c r="O190" t="s">
        <v>2640</v>
      </c>
      <c r="P190" t="s">
        <v>2641</v>
      </c>
      <c r="Q190" t="s">
        <v>2625</v>
      </c>
      <c r="R190" t="s">
        <v>74</v>
      </c>
      <c r="S190" t="s">
        <v>74</v>
      </c>
      <c r="T190" t="s">
        <v>74</v>
      </c>
      <c r="U190" t="s">
        <v>2642</v>
      </c>
      <c r="V190" t="s">
        <v>2643</v>
      </c>
      <c r="W190" t="s">
        <v>2644</v>
      </c>
      <c r="X190" t="s">
        <v>2645</v>
      </c>
      <c r="Y190" t="s">
        <v>2646</v>
      </c>
      <c r="Z190" t="s">
        <v>74</v>
      </c>
      <c r="AA190" t="s">
        <v>74</v>
      </c>
      <c r="AB190" t="s">
        <v>74</v>
      </c>
      <c r="AC190" t="s">
        <v>74</v>
      </c>
      <c r="AD190" t="s">
        <v>74</v>
      </c>
      <c r="AE190" t="s">
        <v>74</v>
      </c>
      <c r="AF190" t="s">
        <v>74</v>
      </c>
      <c r="AG190">
        <v>42</v>
      </c>
      <c r="AH190">
        <v>11</v>
      </c>
      <c r="AI190">
        <v>12</v>
      </c>
      <c r="AJ190">
        <v>0</v>
      </c>
      <c r="AK190">
        <v>2</v>
      </c>
      <c r="AL190" t="s">
        <v>2647</v>
      </c>
      <c r="AM190" t="s">
        <v>2648</v>
      </c>
      <c r="AN190" t="s">
        <v>2649</v>
      </c>
      <c r="AO190" t="s">
        <v>2650</v>
      </c>
      <c r="AP190" t="s">
        <v>74</v>
      </c>
      <c r="AQ190" t="s">
        <v>2651</v>
      </c>
      <c r="AR190" t="s">
        <v>2652</v>
      </c>
      <c r="AS190" t="s">
        <v>74</v>
      </c>
      <c r="AT190" t="s">
        <v>74</v>
      </c>
      <c r="AU190">
        <v>1998</v>
      </c>
      <c r="AV190">
        <v>52</v>
      </c>
      <c r="AW190" t="s">
        <v>74</v>
      </c>
      <c r="AX190" t="s">
        <v>74</v>
      </c>
      <c r="AY190" t="s">
        <v>74</v>
      </c>
      <c r="AZ190" t="s">
        <v>74</v>
      </c>
      <c r="BA190" t="s">
        <v>74</v>
      </c>
      <c r="BB190">
        <v>477</v>
      </c>
      <c r="BC190">
        <v>492</v>
      </c>
      <c r="BD190" t="s">
        <v>74</v>
      </c>
      <c r="BE190" t="s">
        <v>74</v>
      </c>
      <c r="BF190" t="s">
        <v>74</v>
      </c>
      <c r="BG190" t="s">
        <v>74</v>
      </c>
      <c r="BH190" t="s">
        <v>74</v>
      </c>
      <c r="BI190">
        <v>16</v>
      </c>
      <c r="BJ190" t="s">
        <v>2653</v>
      </c>
      <c r="BK190" t="s">
        <v>2189</v>
      </c>
      <c r="BL190" t="s">
        <v>1802</v>
      </c>
      <c r="BM190" t="s">
        <v>2654</v>
      </c>
      <c r="BN190" t="s">
        <v>74</v>
      </c>
      <c r="BO190" t="s">
        <v>74</v>
      </c>
      <c r="BP190" t="s">
        <v>74</v>
      </c>
      <c r="BQ190" t="s">
        <v>74</v>
      </c>
      <c r="BR190" t="s">
        <v>101</v>
      </c>
      <c r="BS190" t="s">
        <v>2655</v>
      </c>
      <c r="BT190" t="str">
        <f>HYPERLINK("https%3A%2F%2Fwww.webofscience.com%2Fwos%2Fwoscc%2Ffull-record%2FWOS:000089402600036","View Full Record in Web of Science")</f>
        <v>View Full Record in Web of Science</v>
      </c>
    </row>
    <row r="191" spans="1:72" x14ac:dyDescent="0.15">
      <c r="A191" t="s">
        <v>72</v>
      </c>
      <c r="B191" t="s">
        <v>2656</v>
      </c>
      <c r="C191" t="s">
        <v>74</v>
      </c>
      <c r="D191" t="s">
        <v>74</v>
      </c>
      <c r="E191" t="s">
        <v>74</v>
      </c>
      <c r="F191" t="s">
        <v>2656</v>
      </c>
      <c r="G191" t="s">
        <v>74</v>
      </c>
      <c r="H191" t="s">
        <v>74</v>
      </c>
      <c r="I191" t="s">
        <v>2657</v>
      </c>
      <c r="J191" t="s">
        <v>2658</v>
      </c>
      <c r="K191" t="s">
        <v>74</v>
      </c>
      <c r="L191" t="s">
        <v>74</v>
      </c>
      <c r="M191" t="s">
        <v>77</v>
      </c>
      <c r="N191" t="s">
        <v>78</v>
      </c>
      <c r="O191" t="s">
        <v>74</v>
      </c>
      <c r="P191" t="s">
        <v>74</v>
      </c>
      <c r="Q191" t="s">
        <v>74</v>
      </c>
      <c r="R191" t="s">
        <v>74</v>
      </c>
      <c r="S191" t="s">
        <v>74</v>
      </c>
      <c r="T191" t="s">
        <v>2659</v>
      </c>
      <c r="U191" t="s">
        <v>2660</v>
      </c>
      <c r="V191" t="s">
        <v>2661</v>
      </c>
      <c r="W191" t="s">
        <v>372</v>
      </c>
      <c r="X191" t="s">
        <v>322</v>
      </c>
      <c r="Y191" t="s">
        <v>2662</v>
      </c>
      <c r="Z191" t="s">
        <v>2663</v>
      </c>
      <c r="AA191" t="s">
        <v>1486</v>
      </c>
      <c r="AB191" t="s">
        <v>1487</v>
      </c>
      <c r="AC191" t="s">
        <v>74</v>
      </c>
      <c r="AD191" t="s">
        <v>74</v>
      </c>
      <c r="AE191" t="s">
        <v>74</v>
      </c>
      <c r="AF191" t="s">
        <v>74</v>
      </c>
      <c r="AG191">
        <v>84</v>
      </c>
      <c r="AH191">
        <v>46</v>
      </c>
      <c r="AI191">
        <v>50</v>
      </c>
      <c r="AJ191">
        <v>1</v>
      </c>
      <c r="AK191">
        <v>3</v>
      </c>
      <c r="AL191" t="s">
        <v>2664</v>
      </c>
      <c r="AM191" t="s">
        <v>2665</v>
      </c>
      <c r="AN191" t="s">
        <v>2666</v>
      </c>
      <c r="AO191" t="s">
        <v>2667</v>
      </c>
      <c r="AP191" t="s">
        <v>2668</v>
      </c>
      <c r="AQ191" t="s">
        <v>74</v>
      </c>
      <c r="AR191" t="s">
        <v>2658</v>
      </c>
      <c r="AS191" t="s">
        <v>2669</v>
      </c>
      <c r="AT191" t="s">
        <v>74</v>
      </c>
      <c r="AU191">
        <v>1998</v>
      </c>
      <c r="AV191">
        <v>22</v>
      </c>
      <c r="AW191" t="s">
        <v>694</v>
      </c>
      <c r="AX191" t="s">
        <v>74</v>
      </c>
      <c r="AY191" t="s">
        <v>74</v>
      </c>
      <c r="AZ191" t="s">
        <v>74</v>
      </c>
      <c r="BA191" t="s">
        <v>74</v>
      </c>
      <c r="BB191">
        <v>241</v>
      </c>
      <c r="BC191">
        <v>258</v>
      </c>
      <c r="BD191" t="s">
        <v>74</v>
      </c>
      <c r="BE191" t="s">
        <v>2670</v>
      </c>
      <c r="BF191" t="str">
        <f>HYPERLINK("http://dx.doi.org/10.1080/03115519808619203","http://dx.doi.org/10.1080/03115519808619203")</f>
        <v>http://dx.doi.org/10.1080/03115519808619203</v>
      </c>
      <c r="BG191" t="s">
        <v>74</v>
      </c>
      <c r="BH191" t="s">
        <v>74</v>
      </c>
      <c r="BI191">
        <v>18</v>
      </c>
      <c r="BJ191" t="s">
        <v>734</v>
      </c>
      <c r="BK191" t="s">
        <v>98</v>
      </c>
      <c r="BL191" t="s">
        <v>734</v>
      </c>
      <c r="BM191" t="s">
        <v>2671</v>
      </c>
      <c r="BN191" t="s">
        <v>74</v>
      </c>
      <c r="BO191" t="s">
        <v>74</v>
      </c>
      <c r="BP191" t="s">
        <v>74</v>
      </c>
      <c r="BQ191" t="s">
        <v>74</v>
      </c>
      <c r="BR191" t="s">
        <v>101</v>
      </c>
      <c r="BS191" t="s">
        <v>2672</v>
      </c>
      <c r="BT191" t="str">
        <f>HYPERLINK("https%3A%2F%2Fwww.webofscience.com%2Fwos%2Fwoscc%2Ffull-record%2FWOS:000076211300004","View Full Record in Web of Science")</f>
        <v>View Full Record in Web of Science</v>
      </c>
    </row>
    <row r="192" spans="1:72" x14ac:dyDescent="0.15">
      <c r="A192" t="s">
        <v>72</v>
      </c>
      <c r="B192" t="s">
        <v>2673</v>
      </c>
      <c r="C192" t="s">
        <v>74</v>
      </c>
      <c r="D192" t="s">
        <v>74</v>
      </c>
      <c r="E192" t="s">
        <v>74</v>
      </c>
      <c r="F192" t="s">
        <v>2673</v>
      </c>
      <c r="G192" t="s">
        <v>74</v>
      </c>
      <c r="H192" t="s">
        <v>74</v>
      </c>
      <c r="I192" t="s">
        <v>2674</v>
      </c>
      <c r="J192" t="s">
        <v>2675</v>
      </c>
      <c r="K192" t="s">
        <v>74</v>
      </c>
      <c r="L192" t="s">
        <v>74</v>
      </c>
      <c r="M192" t="s">
        <v>77</v>
      </c>
      <c r="N192" t="s">
        <v>1135</v>
      </c>
      <c r="O192" t="s">
        <v>74</v>
      </c>
      <c r="P192" t="s">
        <v>74</v>
      </c>
      <c r="Q192" t="s">
        <v>74</v>
      </c>
      <c r="R192" t="s">
        <v>74</v>
      </c>
      <c r="S192" t="s">
        <v>74</v>
      </c>
      <c r="T192" t="s">
        <v>74</v>
      </c>
      <c r="U192" t="s">
        <v>74</v>
      </c>
      <c r="V192" t="s">
        <v>74</v>
      </c>
      <c r="W192" t="s">
        <v>2676</v>
      </c>
      <c r="X192" t="s">
        <v>2677</v>
      </c>
      <c r="Y192" t="s">
        <v>2678</v>
      </c>
      <c r="Z192" t="s">
        <v>74</v>
      </c>
      <c r="AA192" t="s">
        <v>2679</v>
      </c>
      <c r="AB192" t="s">
        <v>74</v>
      </c>
      <c r="AC192" t="s">
        <v>74</v>
      </c>
      <c r="AD192" t="s">
        <v>74</v>
      </c>
      <c r="AE192" t="s">
        <v>74</v>
      </c>
      <c r="AF192" t="s">
        <v>74</v>
      </c>
      <c r="AG192">
        <v>1</v>
      </c>
      <c r="AH192">
        <v>0</v>
      </c>
      <c r="AI192">
        <v>0</v>
      </c>
      <c r="AJ192">
        <v>0</v>
      </c>
      <c r="AK192">
        <v>1</v>
      </c>
      <c r="AL192" t="s">
        <v>243</v>
      </c>
      <c r="AM192" t="s">
        <v>244</v>
      </c>
      <c r="AN192" t="s">
        <v>245</v>
      </c>
      <c r="AO192" t="s">
        <v>2680</v>
      </c>
      <c r="AP192" t="s">
        <v>2681</v>
      </c>
      <c r="AQ192" t="s">
        <v>74</v>
      </c>
      <c r="AR192" t="s">
        <v>2682</v>
      </c>
      <c r="AS192" t="s">
        <v>2683</v>
      </c>
      <c r="AT192" t="s">
        <v>2502</v>
      </c>
      <c r="AU192">
        <v>1998</v>
      </c>
      <c r="AV192">
        <v>92</v>
      </c>
      <c r="AW192">
        <v>1</v>
      </c>
      <c r="AX192" t="s">
        <v>74</v>
      </c>
      <c r="AY192" t="s">
        <v>74</v>
      </c>
      <c r="AZ192" t="s">
        <v>74</v>
      </c>
      <c r="BA192" t="s">
        <v>74</v>
      </c>
      <c r="BB192">
        <v>170</v>
      </c>
      <c r="BC192">
        <v>172</v>
      </c>
      <c r="BD192" t="s">
        <v>74</v>
      </c>
      <c r="BE192" t="s">
        <v>74</v>
      </c>
      <c r="BF192" t="s">
        <v>74</v>
      </c>
      <c r="BG192" t="s">
        <v>74</v>
      </c>
      <c r="BH192" t="s">
        <v>74</v>
      </c>
      <c r="BI192">
        <v>3</v>
      </c>
      <c r="BJ192" t="s">
        <v>2684</v>
      </c>
      <c r="BK192" t="s">
        <v>1619</v>
      </c>
      <c r="BL192" t="s">
        <v>2685</v>
      </c>
      <c r="BM192" t="s">
        <v>2686</v>
      </c>
      <c r="BN192" t="s">
        <v>74</v>
      </c>
      <c r="BO192" t="s">
        <v>74</v>
      </c>
      <c r="BP192" t="s">
        <v>74</v>
      </c>
      <c r="BQ192" t="s">
        <v>74</v>
      </c>
      <c r="BR192" t="s">
        <v>101</v>
      </c>
      <c r="BS192" t="s">
        <v>2687</v>
      </c>
      <c r="BT192" t="str">
        <f>HYPERLINK("https%3A%2F%2Fwww.webofscience.com%2Fwos%2Fwoscc%2Ffull-record%2FWOS:000072205000020","View Full Record in Web of Science")</f>
        <v>View Full Record in Web of Science</v>
      </c>
    </row>
    <row r="193" spans="1:72" x14ac:dyDescent="0.15">
      <c r="A193" t="s">
        <v>72</v>
      </c>
      <c r="B193" t="s">
        <v>2688</v>
      </c>
      <c r="C193" t="s">
        <v>74</v>
      </c>
      <c r="D193" t="s">
        <v>74</v>
      </c>
      <c r="E193" t="s">
        <v>74</v>
      </c>
      <c r="F193" t="s">
        <v>2688</v>
      </c>
      <c r="G193" t="s">
        <v>74</v>
      </c>
      <c r="H193" t="s">
        <v>74</v>
      </c>
      <c r="I193" t="s">
        <v>2689</v>
      </c>
      <c r="J193" t="s">
        <v>2690</v>
      </c>
      <c r="K193" t="s">
        <v>74</v>
      </c>
      <c r="L193" t="s">
        <v>74</v>
      </c>
      <c r="M193" t="s">
        <v>77</v>
      </c>
      <c r="N193" t="s">
        <v>78</v>
      </c>
      <c r="O193" t="s">
        <v>74</v>
      </c>
      <c r="P193" t="s">
        <v>74</v>
      </c>
      <c r="Q193" t="s">
        <v>74</v>
      </c>
      <c r="R193" t="s">
        <v>74</v>
      </c>
      <c r="S193" t="s">
        <v>74</v>
      </c>
      <c r="T193" t="s">
        <v>74</v>
      </c>
      <c r="U193" t="s">
        <v>2691</v>
      </c>
      <c r="V193" t="s">
        <v>2692</v>
      </c>
      <c r="W193" t="s">
        <v>2693</v>
      </c>
      <c r="X193" t="s">
        <v>1714</v>
      </c>
      <c r="Y193" t="s">
        <v>2694</v>
      </c>
      <c r="Z193" t="s">
        <v>74</v>
      </c>
      <c r="AA193" t="s">
        <v>2695</v>
      </c>
      <c r="AB193" t="s">
        <v>2696</v>
      </c>
      <c r="AC193" t="s">
        <v>74</v>
      </c>
      <c r="AD193" t="s">
        <v>74</v>
      </c>
      <c r="AE193" t="s">
        <v>74</v>
      </c>
      <c r="AF193" t="s">
        <v>74</v>
      </c>
      <c r="AG193">
        <v>14</v>
      </c>
      <c r="AH193">
        <v>8</v>
      </c>
      <c r="AI193">
        <v>9</v>
      </c>
      <c r="AJ193">
        <v>0</v>
      </c>
      <c r="AK193">
        <v>4</v>
      </c>
      <c r="AL193" t="s">
        <v>2697</v>
      </c>
      <c r="AM193" t="s">
        <v>115</v>
      </c>
      <c r="AN193" t="s">
        <v>2698</v>
      </c>
      <c r="AO193" t="s">
        <v>2699</v>
      </c>
      <c r="AP193" t="s">
        <v>74</v>
      </c>
      <c r="AQ193" t="s">
        <v>74</v>
      </c>
      <c r="AR193" t="s">
        <v>2700</v>
      </c>
      <c r="AS193" t="s">
        <v>2701</v>
      </c>
      <c r="AT193" t="s">
        <v>2502</v>
      </c>
      <c r="AU193">
        <v>1998</v>
      </c>
      <c r="AV193">
        <v>35</v>
      </c>
      <c r="AW193">
        <v>1</v>
      </c>
      <c r="AX193" t="s">
        <v>74</v>
      </c>
      <c r="AY193" t="s">
        <v>74</v>
      </c>
      <c r="AZ193" t="s">
        <v>74</v>
      </c>
      <c r="BA193" t="s">
        <v>74</v>
      </c>
      <c r="BB193">
        <v>13</v>
      </c>
      <c r="BC193">
        <v>16</v>
      </c>
      <c r="BD193" t="s">
        <v>74</v>
      </c>
      <c r="BE193" t="s">
        <v>2702</v>
      </c>
      <c r="BF193" t="str">
        <f>HYPERLINK("http://dx.doi.org/10.1039/a707971k","http://dx.doi.org/10.1039/a707971k")</f>
        <v>http://dx.doi.org/10.1039/a707971k</v>
      </c>
      <c r="BG193" t="s">
        <v>74</v>
      </c>
      <c r="BH193" t="s">
        <v>74</v>
      </c>
      <c r="BI193">
        <v>4</v>
      </c>
      <c r="BJ193" t="s">
        <v>1564</v>
      </c>
      <c r="BK193" t="s">
        <v>98</v>
      </c>
      <c r="BL193" t="s">
        <v>398</v>
      </c>
      <c r="BM193" t="s">
        <v>2703</v>
      </c>
      <c r="BN193" t="s">
        <v>74</v>
      </c>
      <c r="BO193" t="s">
        <v>74</v>
      </c>
      <c r="BP193" t="s">
        <v>74</v>
      </c>
      <c r="BQ193" t="s">
        <v>74</v>
      </c>
      <c r="BR193" t="s">
        <v>101</v>
      </c>
      <c r="BS193" t="s">
        <v>2704</v>
      </c>
      <c r="BT193" t="str">
        <f>HYPERLINK("https%3A%2F%2Fwww.webofscience.com%2Fwos%2Fwoscc%2Ffull-record%2FWOS:000071730600003","View Full Record in Web of Science")</f>
        <v>View Full Record in Web of Science</v>
      </c>
    </row>
    <row r="194" spans="1:72" x14ac:dyDescent="0.15">
      <c r="A194" t="s">
        <v>72</v>
      </c>
      <c r="B194" t="s">
        <v>2705</v>
      </c>
      <c r="C194" t="s">
        <v>74</v>
      </c>
      <c r="D194" t="s">
        <v>74</v>
      </c>
      <c r="E194" t="s">
        <v>74</v>
      </c>
      <c r="F194" t="s">
        <v>2705</v>
      </c>
      <c r="G194" t="s">
        <v>74</v>
      </c>
      <c r="H194" t="s">
        <v>74</v>
      </c>
      <c r="I194" t="s">
        <v>2706</v>
      </c>
      <c r="J194" t="s">
        <v>2707</v>
      </c>
      <c r="K194" t="s">
        <v>74</v>
      </c>
      <c r="L194" t="s">
        <v>74</v>
      </c>
      <c r="M194" t="s">
        <v>77</v>
      </c>
      <c r="N194" t="s">
        <v>78</v>
      </c>
      <c r="O194" t="s">
        <v>74</v>
      </c>
      <c r="P194" t="s">
        <v>74</v>
      </c>
      <c r="Q194" t="s">
        <v>74</v>
      </c>
      <c r="R194" t="s">
        <v>74</v>
      </c>
      <c r="S194" t="s">
        <v>74</v>
      </c>
      <c r="T194" t="s">
        <v>2708</v>
      </c>
      <c r="U194" t="s">
        <v>2709</v>
      </c>
      <c r="V194" t="s">
        <v>2710</v>
      </c>
      <c r="W194" t="s">
        <v>2711</v>
      </c>
      <c r="X194" t="s">
        <v>2712</v>
      </c>
      <c r="Y194" t="s">
        <v>2713</v>
      </c>
      <c r="Z194" t="s">
        <v>74</v>
      </c>
      <c r="AA194" t="s">
        <v>74</v>
      </c>
      <c r="AB194" t="s">
        <v>2714</v>
      </c>
      <c r="AC194" t="s">
        <v>74</v>
      </c>
      <c r="AD194" t="s">
        <v>74</v>
      </c>
      <c r="AE194" t="s">
        <v>74</v>
      </c>
      <c r="AF194" t="s">
        <v>74</v>
      </c>
      <c r="AG194">
        <v>54</v>
      </c>
      <c r="AH194">
        <v>54</v>
      </c>
      <c r="AI194">
        <v>54</v>
      </c>
      <c r="AJ194">
        <v>0</v>
      </c>
      <c r="AK194">
        <v>2</v>
      </c>
      <c r="AL194" t="s">
        <v>2715</v>
      </c>
      <c r="AM194" t="s">
        <v>2716</v>
      </c>
      <c r="AN194" t="s">
        <v>2717</v>
      </c>
      <c r="AO194" t="s">
        <v>2718</v>
      </c>
      <c r="AP194" t="s">
        <v>74</v>
      </c>
      <c r="AQ194" t="s">
        <v>74</v>
      </c>
      <c r="AR194" t="s">
        <v>2719</v>
      </c>
      <c r="AS194" t="s">
        <v>2720</v>
      </c>
      <c r="AT194" t="s">
        <v>74</v>
      </c>
      <c r="AU194">
        <v>1998</v>
      </c>
      <c r="AV194">
        <v>35</v>
      </c>
      <c r="AW194">
        <v>1</v>
      </c>
      <c r="AX194" t="s">
        <v>74</v>
      </c>
      <c r="AY194" t="s">
        <v>74</v>
      </c>
      <c r="AZ194" t="s">
        <v>74</v>
      </c>
      <c r="BA194" t="s">
        <v>74</v>
      </c>
      <c r="BB194">
        <v>33</v>
      </c>
      <c r="BC194">
        <v>53</v>
      </c>
      <c r="BD194" t="s">
        <v>74</v>
      </c>
      <c r="BE194" t="s">
        <v>74</v>
      </c>
      <c r="BF194" t="s">
        <v>74</v>
      </c>
      <c r="BG194" t="s">
        <v>74</v>
      </c>
      <c r="BH194" t="s">
        <v>74</v>
      </c>
      <c r="BI194">
        <v>21</v>
      </c>
      <c r="BJ194" t="s">
        <v>2721</v>
      </c>
      <c r="BK194" t="s">
        <v>98</v>
      </c>
      <c r="BL194" t="s">
        <v>2721</v>
      </c>
      <c r="BM194" t="s">
        <v>2722</v>
      </c>
      <c r="BN194" t="s">
        <v>74</v>
      </c>
      <c r="BO194" t="s">
        <v>74</v>
      </c>
      <c r="BP194" t="s">
        <v>74</v>
      </c>
      <c r="BQ194" t="s">
        <v>74</v>
      </c>
      <c r="BR194" t="s">
        <v>101</v>
      </c>
      <c r="BS194" t="s">
        <v>2723</v>
      </c>
      <c r="BT194" t="str">
        <f>HYPERLINK("https%3A%2F%2Fwww.webofscience.com%2Fwos%2Fwoscc%2Ffull-record%2FWOS:000073609700006","View Full Record in Web of Science")</f>
        <v>View Full Record in Web of Science</v>
      </c>
    </row>
    <row r="195" spans="1:72" x14ac:dyDescent="0.15">
      <c r="A195" t="s">
        <v>72</v>
      </c>
      <c r="B195" t="s">
        <v>2724</v>
      </c>
      <c r="C195" t="s">
        <v>74</v>
      </c>
      <c r="D195" t="s">
        <v>74</v>
      </c>
      <c r="E195" t="s">
        <v>74</v>
      </c>
      <c r="F195" t="s">
        <v>2724</v>
      </c>
      <c r="G195" t="s">
        <v>74</v>
      </c>
      <c r="H195" t="s">
        <v>74</v>
      </c>
      <c r="I195" t="s">
        <v>2725</v>
      </c>
      <c r="J195" t="s">
        <v>2707</v>
      </c>
      <c r="K195" t="s">
        <v>74</v>
      </c>
      <c r="L195" t="s">
        <v>74</v>
      </c>
      <c r="M195" t="s">
        <v>77</v>
      </c>
      <c r="N195" t="s">
        <v>78</v>
      </c>
      <c r="O195" t="s">
        <v>74</v>
      </c>
      <c r="P195" t="s">
        <v>74</v>
      </c>
      <c r="Q195" t="s">
        <v>74</v>
      </c>
      <c r="R195" t="s">
        <v>74</v>
      </c>
      <c r="S195" t="s">
        <v>74</v>
      </c>
      <c r="T195" t="s">
        <v>2726</v>
      </c>
      <c r="U195" t="s">
        <v>2727</v>
      </c>
      <c r="V195" t="s">
        <v>2728</v>
      </c>
      <c r="W195" t="s">
        <v>2729</v>
      </c>
      <c r="X195" t="s">
        <v>1155</v>
      </c>
      <c r="Y195" t="s">
        <v>2713</v>
      </c>
      <c r="Z195" t="s">
        <v>74</v>
      </c>
      <c r="AA195" t="s">
        <v>74</v>
      </c>
      <c r="AB195" t="s">
        <v>2714</v>
      </c>
      <c r="AC195" t="s">
        <v>74</v>
      </c>
      <c r="AD195" t="s">
        <v>74</v>
      </c>
      <c r="AE195" t="s">
        <v>74</v>
      </c>
      <c r="AF195" t="s">
        <v>74</v>
      </c>
      <c r="AG195">
        <v>14</v>
      </c>
      <c r="AH195">
        <v>10</v>
      </c>
      <c r="AI195">
        <v>11</v>
      </c>
      <c r="AJ195">
        <v>0</v>
      </c>
      <c r="AK195">
        <v>0</v>
      </c>
      <c r="AL195" t="s">
        <v>2715</v>
      </c>
      <c r="AM195" t="s">
        <v>2716</v>
      </c>
      <c r="AN195" t="s">
        <v>2717</v>
      </c>
      <c r="AO195" t="s">
        <v>2718</v>
      </c>
      <c r="AP195" t="s">
        <v>74</v>
      </c>
      <c r="AQ195" t="s">
        <v>74</v>
      </c>
      <c r="AR195" t="s">
        <v>2719</v>
      </c>
      <c r="AS195" t="s">
        <v>2720</v>
      </c>
      <c r="AT195" t="s">
        <v>74</v>
      </c>
      <c r="AU195">
        <v>1998</v>
      </c>
      <c r="AV195">
        <v>35</v>
      </c>
      <c r="AW195">
        <v>4</v>
      </c>
      <c r="AX195" t="s">
        <v>74</v>
      </c>
      <c r="AY195" t="s">
        <v>74</v>
      </c>
      <c r="AZ195" t="s">
        <v>74</v>
      </c>
      <c r="BA195" t="s">
        <v>74</v>
      </c>
      <c r="BB195">
        <v>267</v>
      </c>
      <c r="BC195">
        <v>273</v>
      </c>
      <c r="BD195" t="s">
        <v>74</v>
      </c>
      <c r="BE195" t="s">
        <v>74</v>
      </c>
      <c r="BF195" t="s">
        <v>74</v>
      </c>
      <c r="BG195" t="s">
        <v>74</v>
      </c>
      <c r="BH195" t="s">
        <v>74</v>
      </c>
      <c r="BI195">
        <v>7</v>
      </c>
      <c r="BJ195" t="s">
        <v>2721</v>
      </c>
      <c r="BK195" t="s">
        <v>98</v>
      </c>
      <c r="BL195" t="s">
        <v>2721</v>
      </c>
      <c r="BM195" t="s">
        <v>2730</v>
      </c>
      <c r="BN195" t="s">
        <v>74</v>
      </c>
      <c r="BO195" t="s">
        <v>74</v>
      </c>
      <c r="BP195" t="s">
        <v>74</v>
      </c>
      <c r="BQ195" t="s">
        <v>74</v>
      </c>
      <c r="BR195" t="s">
        <v>101</v>
      </c>
      <c r="BS195" t="s">
        <v>2731</v>
      </c>
      <c r="BT195" t="str">
        <f>HYPERLINK("https%3A%2F%2Fwww.webofscience.com%2Fwos%2Fwoscc%2Ffull-record%2FWOS:000078631500006","View Full Record in Web of Science")</f>
        <v>View Full Record in Web of Science</v>
      </c>
    </row>
    <row r="196" spans="1:72" x14ac:dyDescent="0.15">
      <c r="A196" t="s">
        <v>72</v>
      </c>
      <c r="B196" t="s">
        <v>2732</v>
      </c>
      <c r="C196" t="s">
        <v>74</v>
      </c>
      <c r="D196" t="s">
        <v>74</v>
      </c>
      <c r="E196" t="s">
        <v>74</v>
      </c>
      <c r="F196" t="s">
        <v>2732</v>
      </c>
      <c r="G196" t="s">
        <v>74</v>
      </c>
      <c r="H196" t="s">
        <v>74</v>
      </c>
      <c r="I196" t="s">
        <v>2733</v>
      </c>
      <c r="J196" t="s">
        <v>2734</v>
      </c>
      <c r="K196" t="s">
        <v>74</v>
      </c>
      <c r="L196" t="s">
        <v>74</v>
      </c>
      <c r="M196" t="s">
        <v>2735</v>
      </c>
      <c r="N196" t="s">
        <v>78</v>
      </c>
      <c r="O196" t="s">
        <v>74</v>
      </c>
      <c r="P196" t="s">
        <v>74</v>
      </c>
      <c r="Q196" t="s">
        <v>74</v>
      </c>
      <c r="R196" t="s">
        <v>74</v>
      </c>
      <c r="S196" t="s">
        <v>74</v>
      </c>
      <c r="T196" t="s">
        <v>2736</v>
      </c>
      <c r="U196" t="s">
        <v>2737</v>
      </c>
      <c r="V196" t="s">
        <v>2738</v>
      </c>
      <c r="W196" t="s">
        <v>2739</v>
      </c>
      <c r="X196" t="s">
        <v>2740</v>
      </c>
      <c r="Y196" t="s">
        <v>2741</v>
      </c>
      <c r="Z196" t="s">
        <v>74</v>
      </c>
      <c r="AA196" t="s">
        <v>74</v>
      </c>
      <c r="AB196" t="s">
        <v>74</v>
      </c>
      <c r="AC196" t="s">
        <v>74</v>
      </c>
      <c r="AD196" t="s">
        <v>74</v>
      </c>
      <c r="AE196" t="s">
        <v>74</v>
      </c>
      <c r="AF196" t="s">
        <v>74</v>
      </c>
      <c r="AG196">
        <v>39</v>
      </c>
      <c r="AH196">
        <v>15</v>
      </c>
      <c r="AI196">
        <v>17</v>
      </c>
      <c r="AJ196">
        <v>4</v>
      </c>
      <c r="AK196">
        <v>6</v>
      </c>
      <c r="AL196" t="s">
        <v>2742</v>
      </c>
      <c r="AM196" t="s">
        <v>2743</v>
      </c>
      <c r="AN196" t="s">
        <v>2744</v>
      </c>
      <c r="AO196" t="s">
        <v>2745</v>
      </c>
      <c r="AP196" t="s">
        <v>74</v>
      </c>
      <c r="AQ196" t="s">
        <v>74</v>
      </c>
      <c r="AR196" t="s">
        <v>2746</v>
      </c>
      <c r="AS196" t="s">
        <v>2747</v>
      </c>
      <c r="AT196" t="s">
        <v>74</v>
      </c>
      <c r="AU196">
        <v>1998</v>
      </c>
      <c r="AV196">
        <v>34</v>
      </c>
      <c r="AW196">
        <v>1</v>
      </c>
      <c r="AX196" t="s">
        <v>74</v>
      </c>
      <c r="AY196" t="s">
        <v>74</v>
      </c>
      <c r="AZ196" t="s">
        <v>74</v>
      </c>
      <c r="BA196" t="s">
        <v>74</v>
      </c>
      <c r="BB196">
        <v>3</v>
      </c>
      <c r="BC196">
        <v>11</v>
      </c>
      <c r="BD196" t="s">
        <v>74</v>
      </c>
      <c r="BE196" t="s">
        <v>2748</v>
      </c>
      <c r="BF196" t="str">
        <f>HYPERLINK("http://dx.doi.org/10.1051/limn/1998005","http://dx.doi.org/10.1051/limn/1998005")</f>
        <v>http://dx.doi.org/10.1051/limn/1998005</v>
      </c>
      <c r="BG196" t="s">
        <v>74</v>
      </c>
      <c r="BH196" t="s">
        <v>74</v>
      </c>
      <c r="BI196">
        <v>9</v>
      </c>
      <c r="BJ196" t="s">
        <v>2653</v>
      </c>
      <c r="BK196" t="s">
        <v>98</v>
      </c>
      <c r="BL196" t="s">
        <v>1802</v>
      </c>
      <c r="BM196" t="s">
        <v>2749</v>
      </c>
      <c r="BN196" t="s">
        <v>74</v>
      </c>
      <c r="BO196" t="s">
        <v>647</v>
      </c>
      <c r="BP196" t="s">
        <v>74</v>
      </c>
      <c r="BQ196" t="s">
        <v>74</v>
      </c>
      <c r="BR196" t="s">
        <v>101</v>
      </c>
      <c r="BS196" t="s">
        <v>2750</v>
      </c>
      <c r="BT196" t="str">
        <f>HYPERLINK("https%3A%2F%2Fwww.webofscience.com%2Fwos%2Fwoscc%2Ffull-record%2FWOS:000072955100001","View Full Record in Web of Science")</f>
        <v>View Full Record in Web of Science</v>
      </c>
    </row>
    <row r="197" spans="1:72" x14ac:dyDescent="0.15">
      <c r="A197" t="s">
        <v>72</v>
      </c>
      <c r="B197" t="s">
        <v>2751</v>
      </c>
      <c r="C197" t="s">
        <v>74</v>
      </c>
      <c r="D197" t="s">
        <v>74</v>
      </c>
      <c r="E197" t="s">
        <v>74</v>
      </c>
      <c r="F197" t="s">
        <v>2751</v>
      </c>
      <c r="G197" t="s">
        <v>74</v>
      </c>
      <c r="H197" t="s">
        <v>74</v>
      </c>
      <c r="I197" t="s">
        <v>2752</v>
      </c>
      <c r="J197" t="s">
        <v>1228</v>
      </c>
      <c r="K197" t="s">
        <v>74</v>
      </c>
      <c r="L197" t="s">
        <v>74</v>
      </c>
      <c r="M197" t="s">
        <v>77</v>
      </c>
      <c r="N197" t="s">
        <v>78</v>
      </c>
      <c r="O197" t="s">
        <v>74</v>
      </c>
      <c r="P197" t="s">
        <v>74</v>
      </c>
      <c r="Q197" t="s">
        <v>74</v>
      </c>
      <c r="R197" t="s">
        <v>74</v>
      </c>
      <c r="S197" t="s">
        <v>74</v>
      </c>
      <c r="T197" t="s">
        <v>2753</v>
      </c>
      <c r="U197" t="s">
        <v>2754</v>
      </c>
      <c r="V197" t="s">
        <v>2755</v>
      </c>
      <c r="W197" t="s">
        <v>2756</v>
      </c>
      <c r="X197" t="s">
        <v>2757</v>
      </c>
      <c r="Y197" t="s">
        <v>2758</v>
      </c>
      <c r="Z197" t="s">
        <v>74</v>
      </c>
      <c r="AA197" t="s">
        <v>74</v>
      </c>
      <c r="AB197" t="s">
        <v>2759</v>
      </c>
      <c r="AC197" t="s">
        <v>74</v>
      </c>
      <c r="AD197" t="s">
        <v>74</v>
      </c>
      <c r="AE197" t="s">
        <v>74</v>
      </c>
      <c r="AF197" t="s">
        <v>74</v>
      </c>
      <c r="AG197">
        <v>53</v>
      </c>
      <c r="AH197">
        <v>40</v>
      </c>
      <c r="AI197">
        <v>43</v>
      </c>
      <c r="AJ197">
        <v>0</v>
      </c>
      <c r="AK197">
        <v>5</v>
      </c>
      <c r="AL197" t="s">
        <v>897</v>
      </c>
      <c r="AM197" t="s">
        <v>244</v>
      </c>
      <c r="AN197" t="s">
        <v>898</v>
      </c>
      <c r="AO197" t="s">
        <v>1238</v>
      </c>
      <c r="AP197" t="s">
        <v>74</v>
      </c>
      <c r="AQ197" t="s">
        <v>74</v>
      </c>
      <c r="AR197" t="s">
        <v>1239</v>
      </c>
      <c r="AS197" t="s">
        <v>1240</v>
      </c>
      <c r="AT197" t="s">
        <v>2502</v>
      </c>
      <c r="AU197">
        <v>1998</v>
      </c>
      <c r="AV197">
        <v>16</v>
      </c>
      <c r="AW197">
        <v>1</v>
      </c>
      <c r="AX197" t="s">
        <v>74</v>
      </c>
      <c r="AY197" t="s">
        <v>74</v>
      </c>
      <c r="AZ197" t="s">
        <v>74</v>
      </c>
      <c r="BA197" t="s">
        <v>74</v>
      </c>
      <c r="BB197">
        <v>77</v>
      </c>
      <c r="BC197">
        <v>89</v>
      </c>
      <c r="BD197" t="s">
        <v>74</v>
      </c>
      <c r="BE197" t="s">
        <v>2760</v>
      </c>
      <c r="BF197" t="str">
        <f>HYPERLINK("http://dx.doi.org/10.1007/s00585-997-0077-3","http://dx.doi.org/10.1007/s00585-997-0077-3")</f>
        <v>http://dx.doi.org/10.1007/s00585-997-0077-3</v>
      </c>
      <c r="BG197" t="s">
        <v>74</v>
      </c>
      <c r="BH197" t="s">
        <v>74</v>
      </c>
      <c r="BI197">
        <v>13</v>
      </c>
      <c r="BJ197" t="s">
        <v>1242</v>
      </c>
      <c r="BK197" t="s">
        <v>98</v>
      </c>
      <c r="BL197" t="s">
        <v>1243</v>
      </c>
      <c r="BM197" t="s">
        <v>2761</v>
      </c>
      <c r="BN197" t="s">
        <v>74</v>
      </c>
      <c r="BO197" t="s">
        <v>1245</v>
      </c>
      <c r="BP197" t="s">
        <v>74</v>
      </c>
      <c r="BQ197" t="s">
        <v>74</v>
      </c>
      <c r="BR197" t="s">
        <v>101</v>
      </c>
      <c r="BS197" t="s">
        <v>2762</v>
      </c>
      <c r="BT197" t="str">
        <f>HYPERLINK("https%3A%2F%2Fwww.webofscience.com%2Fwos%2Fwoscc%2Ffull-record%2FWOS:000071439700007","View Full Record in Web of Science")</f>
        <v>View Full Record in Web of Science</v>
      </c>
    </row>
    <row r="198" spans="1:72" x14ac:dyDescent="0.15">
      <c r="A198" t="s">
        <v>72</v>
      </c>
      <c r="B198" t="s">
        <v>2763</v>
      </c>
      <c r="C198" t="s">
        <v>74</v>
      </c>
      <c r="D198" t="s">
        <v>74</v>
      </c>
      <c r="E198" t="s">
        <v>74</v>
      </c>
      <c r="F198" t="s">
        <v>2763</v>
      </c>
      <c r="G198" t="s">
        <v>74</v>
      </c>
      <c r="H198" t="s">
        <v>74</v>
      </c>
      <c r="I198" t="s">
        <v>2764</v>
      </c>
      <c r="J198" t="s">
        <v>1228</v>
      </c>
      <c r="K198" t="s">
        <v>74</v>
      </c>
      <c r="L198" t="s">
        <v>74</v>
      </c>
      <c r="M198" t="s">
        <v>77</v>
      </c>
      <c r="N198" t="s">
        <v>78</v>
      </c>
      <c r="O198" t="s">
        <v>74</v>
      </c>
      <c r="P198" t="s">
        <v>74</v>
      </c>
      <c r="Q198" t="s">
        <v>74</v>
      </c>
      <c r="R198" t="s">
        <v>74</v>
      </c>
      <c r="S198" t="s">
        <v>74</v>
      </c>
      <c r="T198" t="s">
        <v>2765</v>
      </c>
      <c r="U198" t="s">
        <v>74</v>
      </c>
      <c r="V198" t="s">
        <v>2766</v>
      </c>
      <c r="W198" t="s">
        <v>851</v>
      </c>
      <c r="X198" t="s">
        <v>852</v>
      </c>
      <c r="Y198" t="s">
        <v>2767</v>
      </c>
      <c r="Z198" t="s">
        <v>74</v>
      </c>
      <c r="AA198" t="s">
        <v>74</v>
      </c>
      <c r="AB198" t="s">
        <v>74</v>
      </c>
      <c r="AC198" t="s">
        <v>74</v>
      </c>
      <c r="AD198" t="s">
        <v>74</v>
      </c>
      <c r="AE198" t="s">
        <v>74</v>
      </c>
      <c r="AF198" t="s">
        <v>74</v>
      </c>
      <c r="AG198">
        <v>14</v>
      </c>
      <c r="AH198">
        <v>15</v>
      </c>
      <c r="AI198">
        <v>20</v>
      </c>
      <c r="AJ198">
        <v>0</v>
      </c>
      <c r="AK198">
        <v>5</v>
      </c>
      <c r="AL198" t="s">
        <v>897</v>
      </c>
      <c r="AM198" t="s">
        <v>244</v>
      </c>
      <c r="AN198" t="s">
        <v>898</v>
      </c>
      <c r="AO198" t="s">
        <v>1238</v>
      </c>
      <c r="AP198" t="s">
        <v>74</v>
      </c>
      <c r="AQ198" t="s">
        <v>74</v>
      </c>
      <c r="AR198" t="s">
        <v>1239</v>
      </c>
      <c r="AS198" t="s">
        <v>1240</v>
      </c>
      <c r="AT198" t="s">
        <v>2502</v>
      </c>
      <c r="AU198">
        <v>1998</v>
      </c>
      <c r="AV198">
        <v>16</v>
      </c>
      <c r="AW198">
        <v>1</v>
      </c>
      <c r="AX198" t="s">
        <v>74</v>
      </c>
      <c r="AY198" t="s">
        <v>74</v>
      </c>
      <c r="AZ198" t="s">
        <v>74</v>
      </c>
      <c r="BA198" t="s">
        <v>74</v>
      </c>
      <c r="BB198">
        <v>110</v>
      </c>
      <c r="BC198">
        <v>115</v>
      </c>
      <c r="BD198" t="s">
        <v>74</v>
      </c>
      <c r="BE198" t="s">
        <v>2768</v>
      </c>
      <c r="BF198" t="str">
        <f>HYPERLINK("http://dx.doi.org/10.1007/s00585-997-0110-6","http://dx.doi.org/10.1007/s00585-997-0110-6")</f>
        <v>http://dx.doi.org/10.1007/s00585-997-0110-6</v>
      </c>
      <c r="BG198" t="s">
        <v>74</v>
      </c>
      <c r="BH198" t="s">
        <v>74</v>
      </c>
      <c r="BI198">
        <v>6</v>
      </c>
      <c r="BJ198" t="s">
        <v>1242</v>
      </c>
      <c r="BK198" t="s">
        <v>98</v>
      </c>
      <c r="BL198" t="s">
        <v>1243</v>
      </c>
      <c r="BM198" t="s">
        <v>2761</v>
      </c>
      <c r="BN198" t="s">
        <v>74</v>
      </c>
      <c r="BO198" t="s">
        <v>1245</v>
      </c>
      <c r="BP198" t="s">
        <v>74</v>
      </c>
      <c r="BQ198" t="s">
        <v>74</v>
      </c>
      <c r="BR198" t="s">
        <v>101</v>
      </c>
      <c r="BS198" t="s">
        <v>2769</v>
      </c>
      <c r="BT198" t="str">
        <f>HYPERLINK("https%3A%2F%2Fwww.webofscience.com%2Fwos%2Fwoscc%2Ffull-record%2FWOS:000071439700009","View Full Record in Web of Science")</f>
        <v>View Full Record in Web of Science</v>
      </c>
    </row>
    <row r="199" spans="1:72" x14ac:dyDescent="0.15">
      <c r="A199" t="s">
        <v>2175</v>
      </c>
      <c r="B199" t="s">
        <v>2770</v>
      </c>
      <c r="C199" t="s">
        <v>74</v>
      </c>
      <c r="D199" t="s">
        <v>2771</v>
      </c>
      <c r="E199" t="s">
        <v>74</v>
      </c>
      <c r="F199" t="s">
        <v>2770</v>
      </c>
      <c r="G199" t="s">
        <v>74</v>
      </c>
      <c r="H199" t="s">
        <v>74</v>
      </c>
      <c r="I199" t="s">
        <v>2772</v>
      </c>
      <c r="J199" t="s">
        <v>2773</v>
      </c>
      <c r="K199" t="s">
        <v>2774</v>
      </c>
      <c r="L199" t="s">
        <v>74</v>
      </c>
      <c r="M199" t="s">
        <v>77</v>
      </c>
      <c r="N199" t="s">
        <v>2180</v>
      </c>
      <c r="O199" t="s">
        <v>2775</v>
      </c>
      <c r="P199" t="s">
        <v>2776</v>
      </c>
      <c r="Q199" t="s">
        <v>2777</v>
      </c>
      <c r="R199" t="s">
        <v>74</v>
      </c>
      <c r="S199" t="s">
        <v>74</v>
      </c>
      <c r="T199" t="s">
        <v>74</v>
      </c>
      <c r="U199" t="s">
        <v>74</v>
      </c>
      <c r="V199" t="s">
        <v>2778</v>
      </c>
      <c r="W199" t="s">
        <v>2779</v>
      </c>
      <c r="X199" t="s">
        <v>74</v>
      </c>
      <c r="Y199" t="s">
        <v>2780</v>
      </c>
      <c r="Z199" t="s">
        <v>74</v>
      </c>
      <c r="AA199" t="s">
        <v>2781</v>
      </c>
      <c r="AB199" t="s">
        <v>2782</v>
      </c>
      <c r="AC199" t="s">
        <v>74</v>
      </c>
      <c r="AD199" t="s">
        <v>74</v>
      </c>
      <c r="AE199" t="s">
        <v>74</v>
      </c>
      <c r="AF199" t="s">
        <v>74</v>
      </c>
      <c r="AG199">
        <v>0</v>
      </c>
      <c r="AH199">
        <v>32</v>
      </c>
      <c r="AI199">
        <v>33</v>
      </c>
      <c r="AJ199">
        <v>0</v>
      </c>
      <c r="AK199">
        <v>7</v>
      </c>
      <c r="AL199" t="s">
        <v>2783</v>
      </c>
      <c r="AM199" t="s">
        <v>115</v>
      </c>
      <c r="AN199" t="s">
        <v>2784</v>
      </c>
      <c r="AO199" t="s">
        <v>2785</v>
      </c>
      <c r="AP199" t="s">
        <v>74</v>
      </c>
      <c r="AQ199" t="s">
        <v>2786</v>
      </c>
      <c r="AR199" t="s">
        <v>2787</v>
      </c>
      <c r="AS199" t="s">
        <v>74</v>
      </c>
      <c r="AT199" t="s">
        <v>74</v>
      </c>
      <c r="AU199">
        <v>1998</v>
      </c>
      <c r="AV199">
        <v>26</v>
      </c>
      <c r="AW199" t="s">
        <v>74</v>
      </c>
      <c r="AX199" t="s">
        <v>74</v>
      </c>
      <c r="AY199" t="s">
        <v>74</v>
      </c>
      <c r="AZ199" t="s">
        <v>74</v>
      </c>
      <c r="BA199" t="s">
        <v>74</v>
      </c>
      <c r="BB199">
        <v>39</v>
      </c>
      <c r="BC199">
        <v>44</v>
      </c>
      <c r="BD199" t="s">
        <v>74</v>
      </c>
      <c r="BE199" t="s">
        <v>2788</v>
      </c>
      <c r="BF199" t="str">
        <f>HYPERLINK("http://dx.doi.org/10.3189/1998AoG26-1-39-44","http://dx.doi.org/10.3189/1998AoG26-1-39-44")</f>
        <v>http://dx.doi.org/10.3189/1998AoG26-1-39-44</v>
      </c>
      <c r="BG199" t="s">
        <v>74</v>
      </c>
      <c r="BH199" t="s">
        <v>74</v>
      </c>
      <c r="BI199">
        <v>6</v>
      </c>
      <c r="BJ199" t="s">
        <v>614</v>
      </c>
      <c r="BK199" t="s">
        <v>2189</v>
      </c>
      <c r="BL199" t="s">
        <v>614</v>
      </c>
      <c r="BM199" t="s">
        <v>2789</v>
      </c>
      <c r="BN199" t="s">
        <v>74</v>
      </c>
      <c r="BO199" t="s">
        <v>647</v>
      </c>
      <c r="BP199" t="s">
        <v>74</v>
      </c>
      <c r="BQ199" t="s">
        <v>74</v>
      </c>
      <c r="BR199" t="s">
        <v>101</v>
      </c>
      <c r="BS199" t="s">
        <v>2790</v>
      </c>
      <c r="BT199" t="str">
        <f>HYPERLINK("https%3A%2F%2Fwww.webofscience.com%2Fwos%2Fwoscc%2Ffull-record%2FWOS:000076481500009","View Full Record in Web of Science")</f>
        <v>View Full Record in Web of Science</v>
      </c>
    </row>
    <row r="200" spans="1:72" x14ac:dyDescent="0.15">
      <c r="A200" t="s">
        <v>2175</v>
      </c>
      <c r="B200" t="s">
        <v>2791</v>
      </c>
      <c r="C200" t="s">
        <v>74</v>
      </c>
      <c r="D200" t="s">
        <v>2771</v>
      </c>
      <c r="E200" t="s">
        <v>74</v>
      </c>
      <c r="F200" t="s">
        <v>2791</v>
      </c>
      <c r="G200" t="s">
        <v>74</v>
      </c>
      <c r="H200" t="s">
        <v>74</v>
      </c>
      <c r="I200" t="s">
        <v>2792</v>
      </c>
      <c r="J200" t="s">
        <v>2773</v>
      </c>
      <c r="K200" t="s">
        <v>2774</v>
      </c>
      <c r="L200" t="s">
        <v>74</v>
      </c>
      <c r="M200" t="s">
        <v>77</v>
      </c>
      <c r="N200" t="s">
        <v>2180</v>
      </c>
      <c r="O200" t="s">
        <v>2775</v>
      </c>
      <c r="P200" t="s">
        <v>2776</v>
      </c>
      <c r="Q200" t="s">
        <v>2777</v>
      </c>
      <c r="R200" t="s">
        <v>74</v>
      </c>
      <c r="S200" t="s">
        <v>74</v>
      </c>
      <c r="T200" t="s">
        <v>74</v>
      </c>
      <c r="U200" t="s">
        <v>74</v>
      </c>
      <c r="V200" t="s">
        <v>2793</v>
      </c>
      <c r="W200" t="s">
        <v>2794</v>
      </c>
      <c r="X200" t="s">
        <v>2795</v>
      </c>
      <c r="Y200" t="s">
        <v>2796</v>
      </c>
      <c r="Z200" t="s">
        <v>74</v>
      </c>
      <c r="AA200" t="s">
        <v>2797</v>
      </c>
      <c r="AB200" t="s">
        <v>2798</v>
      </c>
      <c r="AC200" t="s">
        <v>74</v>
      </c>
      <c r="AD200" t="s">
        <v>74</v>
      </c>
      <c r="AE200" t="s">
        <v>74</v>
      </c>
      <c r="AF200" t="s">
        <v>74</v>
      </c>
      <c r="AG200">
        <v>0</v>
      </c>
      <c r="AH200">
        <v>7</v>
      </c>
      <c r="AI200">
        <v>10</v>
      </c>
      <c r="AJ200">
        <v>1</v>
      </c>
      <c r="AK200">
        <v>2</v>
      </c>
      <c r="AL200" t="s">
        <v>2783</v>
      </c>
      <c r="AM200" t="s">
        <v>115</v>
      </c>
      <c r="AN200" t="s">
        <v>2784</v>
      </c>
      <c r="AO200" t="s">
        <v>2785</v>
      </c>
      <c r="AP200" t="s">
        <v>74</v>
      </c>
      <c r="AQ200" t="s">
        <v>2786</v>
      </c>
      <c r="AR200" t="s">
        <v>2787</v>
      </c>
      <c r="AS200" t="s">
        <v>74</v>
      </c>
      <c r="AT200" t="s">
        <v>74</v>
      </c>
      <c r="AU200">
        <v>1998</v>
      </c>
      <c r="AV200">
        <v>26</v>
      </c>
      <c r="AW200" t="s">
        <v>74</v>
      </c>
      <c r="AX200" t="s">
        <v>74</v>
      </c>
      <c r="AY200" t="s">
        <v>74</v>
      </c>
      <c r="AZ200" t="s">
        <v>74</v>
      </c>
      <c r="BA200" t="s">
        <v>74</v>
      </c>
      <c r="BB200">
        <v>161</v>
      </c>
      <c r="BC200">
        <v>166</v>
      </c>
      <c r="BD200" t="s">
        <v>74</v>
      </c>
      <c r="BE200" t="s">
        <v>2799</v>
      </c>
      <c r="BF200" t="str">
        <f>HYPERLINK("http://dx.doi.org/10.3189/1998AoG26-1-161-166","http://dx.doi.org/10.3189/1998AoG26-1-161-166")</f>
        <v>http://dx.doi.org/10.3189/1998AoG26-1-161-166</v>
      </c>
      <c r="BG200" t="s">
        <v>74</v>
      </c>
      <c r="BH200" t="s">
        <v>74</v>
      </c>
      <c r="BI200">
        <v>6</v>
      </c>
      <c r="BJ200" t="s">
        <v>614</v>
      </c>
      <c r="BK200" t="s">
        <v>2189</v>
      </c>
      <c r="BL200" t="s">
        <v>614</v>
      </c>
      <c r="BM200" t="s">
        <v>2789</v>
      </c>
      <c r="BN200" t="s">
        <v>74</v>
      </c>
      <c r="BO200" t="s">
        <v>100</v>
      </c>
      <c r="BP200" t="s">
        <v>74</v>
      </c>
      <c r="BQ200" t="s">
        <v>74</v>
      </c>
      <c r="BR200" t="s">
        <v>101</v>
      </c>
      <c r="BS200" t="s">
        <v>2800</v>
      </c>
      <c r="BT200" t="str">
        <f>HYPERLINK("https%3A%2F%2Fwww.webofscience.com%2Fwos%2Fwoscc%2Ffull-record%2FWOS:000076481500031","View Full Record in Web of Science")</f>
        <v>View Full Record in Web of Science</v>
      </c>
    </row>
    <row r="201" spans="1:72" x14ac:dyDescent="0.15">
      <c r="A201" t="s">
        <v>2175</v>
      </c>
      <c r="B201" t="s">
        <v>2801</v>
      </c>
      <c r="C201" t="s">
        <v>74</v>
      </c>
      <c r="D201" t="s">
        <v>2771</v>
      </c>
      <c r="E201" t="s">
        <v>74</v>
      </c>
      <c r="F201" t="s">
        <v>2801</v>
      </c>
      <c r="G201" t="s">
        <v>74</v>
      </c>
      <c r="H201" t="s">
        <v>74</v>
      </c>
      <c r="I201" t="s">
        <v>2802</v>
      </c>
      <c r="J201" t="s">
        <v>2773</v>
      </c>
      <c r="K201" t="s">
        <v>2774</v>
      </c>
      <c r="L201" t="s">
        <v>74</v>
      </c>
      <c r="M201" t="s">
        <v>77</v>
      </c>
      <c r="N201" t="s">
        <v>2180</v>
      </c>
      <c r="O201" t="s">
        <v>2775</v>
      </c>
      <c r="P201" t="s">
        <v>2776</v>
      </c>
      <c r="Q201" t="s">
        <v>2777</v>
      </c>
      <c r="R201" t="s">
        <v>74</v>
      </c>
      <c r="S201" t="s">
        <v>74</v>
      </c>
      <c r="T201" t="s">
        <v>74</v>
      </c>
      <c r="U201" t="s">
        <v>74</v>
      </c>
      <c r="V201" t="s">
        <v>2803</v>
      </c>
      <c r="W201" t="s">
        <v>2804</v>
      </c>
      <c r="X201" t="s">
        <v>2805</v>
      </c>
      <c r="Y201" t="s">
        <v>2806</v>
      </c>
      <c r="Z201" t="s">
        <v>74</v>
      </c>
      <c r="AA201" t="s">
        <v>74</v>
      </c>
      <c r="AB201" t="s">
        <v>74</v>
      </c>
      <c r="AC201" t="s">
        <v>74</v>
      </c>
      <c r="AD201" t="s">
        <v>74</v>
      </c>
      <c r="AE201" t="s">
        <v>74</v>
      </c>
      <c r="AF201" t="s">
        <v>74</v>
      </c>
      <c r="AG201">
        <v>0</v>
      </c>
      <c r="AH201">
        <v>30</v>
      </c>
      <c r="AI201">
        <v>31</v>
      </c>
      <c r="AJ201">
        <v>0</v>
      </c>
      <c r="AK201">
        <v>2</v>
      </c>
      <c r="AL201" t="s">
        <v>2783</v>
      </c>
      <c r="AM201" t="s">
        <v>115</v>
      </c>
      <c r="AN201" t="s">
        <v>2784</v>
      </c>
      <c r="AO201" t="s">
        <v>2785</v>
      </c>
      <c r="AP201" t="s">
        <v>74</v>
      </c>
      <c r="AQ201" t="s">
        <v>2786</v>
      </c>
      <c r="AR201" t="s">
        <v>2787</v>
      </c>
      <c r="AS201" t="s">
        <v>74</v>
      </c>
      <c r="AT201" t="s">
        <v>74</v>
      </c>
      <c r="AU201">
        <v>1998</v>
      </c>
      <c r="AV201">
        <v>26</v>
      </c>
      <c r="AW201" t="s">
        <v>74</v>
      </c>
      <c r="AX201" t="s">
        <v>74</v>
      </c>
      <c r="AY201" t="s">
        <v>74</v>
      </c>
      <c r="AZ201" t="s">
        <v>74</v>
      </c>
      <c r="BA201" t="s">
        <v>74</v>
      </c>
      <c r="BB201">
        <v>203</v>
      </c>
      <c r="BC201">
        <v>206</v>
      </c>
      <c r="BD201" t="s">
        <v>74</v>
      </c>
      <c r="BE201" t="s">
        <v>2807</v>
      </c>
      <c r="BF201" t="str">
        <f>HYPERLINK("http://dx.doi.org/10.3189/1998AoG26-1-203-206","http://dx.doi.org/10.3189/1998AoG26-1-203-206")</f>
        <v>http://dx.doi.org/10.3189/1998AoG26-1-203-206</v>
      </c>
      <c r="BG201" t="s">
        <v>74</v>
      </c>
      <c r="BH201" t="s">
        <v>74</v>
      </c>
      <c r="BI201">
        <v>4</v>
      </c>
      <c r="BJ201" t="s">
        <v>614</v>
      </c>
      <c r="BK201" t="s">
        <v>2189</v>
      </c>
      <c r="BL201" t="s">
        <v>614</v>
      </c>
      <c r="BM201" t="s">
        <v>2789</v>
      </c>
      <c r="BN201" t="s">
        <v>74</v>
      </c>
      <c r="BO201" t="s">
        <v>100</v>
      </c>
      <c r="BP201" t="s">
        <v>74</v>
      </c>
      <c r="BQ201" t="s">
        <v>74</v>
      </c>
      <c r="BR201" t="s">
        <v>101</v>
      </c>
      <c r="BS201" t="s">
        <v>2808</v>
      </c>
      <c r="BT201" t="str">
        <f>HYPERLINK("https%3A%2F%2Fwww.webofscience.com%2Fwos%2Fwoscc%2Ffull-record%2FWOS:000076481500038","View Full Record in Web of Science")</f>
        <v>View Full Record in Web of Science</v>
      </c>
    </row>
    <row r="202" spans="1:72" x14ac:dyDescent="0.15">
      <c r="A202" t="s">
        <v>1540</v>
      </c>
      <c r="B202" t="s">
        <v>2809</v>
      </c>
      <c r="C202" t="s">
        <v>74</v>
      </c>
      <c r="D202" t="s">
        <v>2810</v>
      </c>
      <c r="E202" t="s">
        <v>74</v>
      </c>
      <c r="F202" t="s">
        <v>2809</v>
      </c>
      <c r="G202" t="s">
        <v>74</v>
      </c>
      <c r="H202" t="s">
        <v>74</v>
      </c>
      <c r="I202" t="s">
        <v>2811</v>
      </c>
      <c r="J202" t="s">
        <v>2812</v>
      </c>
      <c r="K202" t="s">
        <v>2813</v>
      </c>
      <c r="L202" t="s">
        <v>74</v>
      </c>
      <c r="M202" t="s">
        <v>77</v>
      </c>
      <c r="N202" t="s">
        <v>379</v>
      </c>
      <c r="O202" t="s">
        <v>2814</v>
      </c>
      <c r="P202" t="s">
        <v>2815</v>
      </c>
      <c r="Q202" t="s">
        <v>2816</v>
      </c>
      <c r="R202" t="s">
        <v>74</v>
      </c>
      <c r="S202" t="s">
        <v>74</v>
      </c>
      <c r="T202" t="s">
        <v>74</v>
      </c>
      <c r="U202" t="s">
        <v>2817</v>
      </c>
      <c r="V202" t="s">
        <v>2818</v>
      </c>
      <c r="W202" t="s">
        <v>2819</v>
      </c>
      <c r="X202" t="s">
        <v>2820</v>
      </c>
      <c r="Y202" t="s">
        <v>2821</v>
      </c>
      <c r="Z202" t="s">
        <v>74</v>
      </c>
      <c r="AA202" t="s">
        <v>2822</v>
      </c>
      <c r="AB202" t="s">
        <v>2823</v>
      </c>
      <c r="AC202" t="s">
        <v>74</v>
      </c>
      <c r="AD202" t="s">
        <v>74</v>
      </c>
      <c r="AE202" t="s">
        <v>74</v>
      </c>
      <c r="AF202" t="s">
        <v>74</v>
      </c>
      <c r="AG202">
        <v>29</v>
      </c>
      <c r="AH202">
        <v>9</v>
      </c>
      <c r="AI202">
        <v>9</v>
      </c>
      <c r="AJ202">
        <v>0</v>
      </c>
      <c r="AK202">
        <v>1</v>
      </c>
      <c r="AL202" t="s">
        <v>2783</v>
      </c>
      <c r="AM202" t="s">
        <v>115</v>
      </c>
      <c r="AN202" t="s">
        <v>2784</v>
      </c>
      <c r="AO202" t="s">
        <v>2785</v>
      </c>
      <c r="AP202" t="s">
        <v>74</v>
      </c>
      <c r="AQ202" t="s">
        <v>2824</v>
      </c>
      <c r="AR202" t="s">
        <v>2825</v>
      </c>
      <c r="AS202" t="s">
        <v>74</v>
      </c>
      <c r="AT202" t="s">
        <v>74</v>
      </c>
      <c r="AU202">
        <v>1998</v>
      </c>
      <c r="AV202">
        <v>27</v>
      </c>
      <c r="AW202" t="s">
        <v>74</v>
      </c>
      <c r="AX202" t="s">
        <v>74</v>
      </c>
      <c r="AY202" t="s">
        <v>74</v>
      </c>
      <c r="AZ202" t="s">
        <v>74</v>
      </c>
      <c r="BA202" t="s">
        <v>74</v>
      </c>
      <c r="BB202">
        <v>1</v>
      </c>
      <c r="BC202">
        <v>6</v>
      </c>
      <c r="BD202" t="s">
        <v>74</v>
      </c>
      <c r="BE202" t="s">
        <v>74</v>
      </c>
      <c r="BF202" t="s">
        <v>74</v>
      </c>
      <c r="BG202" t="s">
        <v>74</v>
      </c>
      <c r="BH202" t="s">
        <v>74</v>
      </c>
      <c r="BI202">
        <v>6</v>
      </c>
      <c r="BJ202" t="s">
        <v>2826</v>
      </c>
      <c r="BK202" t="s">
        <v>397</v>
      </c>
      <c r="BL202" t="s">
        <v>2827</v>
      </c>
      <c r="BM202" t="s">
        <v>2828</v>
      </c>
      <c r="BN202" t="s">
        <v>74</v>
      </c>
      <c r="BO202" t="s">
        <v>74</v>
      </c>
      <c r="BP202" t="s">
        <v>74</v>
      </c>
      <c r="BQ202" t="s">
        <v>74</v>
      </c>
      <c r="BR202" t="s">
        <v>101</v>
      </c>
      <c r="BS202" t="s">
        <v>2829</v>
      </c>
      <c r="BT202" t="str">
        <f>HYPERLINK("https%3A%2F%2Fwww.webofscience.com%2Fwos%2Fwoscc%2Ffull-record%2FWOS:000079713100001","View Full Record in Web of Science")</f>
        <v>View Full Record in Web of Science</v>
      </c>
    </row>
    <row r="203" spans="1:72" x14ac:dyDescent="0.15">
      <c r="A203" t="s">
        <v>1540</v>
      </c>
      <c r="B203" t="s">
        <v>2830</v>
      </c>
      <c r="C203" t="s">
        <v>74</v>
      </c>
      <c r="D203" t="s">
        <v>2810</v>
      </c>
      <c r="E203" t="s">
        <v>74</v>
      </c>
      <c r="F203" t="s">
        <v>2830</v>
      </c>
      <c r="G203" t="s">
        <v>74</v>
      </c>
      <c r="H203" t="s">
        <v>74</v>
      </c>
      <c r="I203" t="s">
        <v>2831</v>
      </c>
      <c r="J203" t="s">
        <v>2812</v>
      </c>
      <c r="K203" t="s">
        <v>2813</v>
      </c>
      <c r="L203" t="s">
        <v>74</v>
      </c>
      <c r="M203" t="s">
        <v>77</v>
      </c>
      <c r="N203" t="s">
        <v>379</v>
      </c>
      <c r="O203" t="s">
        <v>2814</v>
      </c>
      <c r="P203" t="s">
        <v>2815</v>
      </c>
      <c r="Q203" t="s">
        <v>2816</v>
      </c>
      <c r="R203" t="s">
        <v>74</v>
      </c>
      <c r="S203" t="s">
        <v>74</v>
      </c>
      <c r="T203" t="s">
        <v>74</v>
      </c>
      <c r="U203" t="s">
        <v>2832</v>
      </c>
      <c r="V203" t="s">
        <v>2833</v>
      </c>
      <c r="W203" t="s">
        <v>2834</v>
      </c>
      <c r="X203" t="s">
        <v>2835</v>
      </c>
      <c r="Y203" t="s">
        <v>2836</v>
      </c>
      <c r="Z203" t="s">
        <v>74</v>
      </c>
      <c r="AA203" t="s">
        <v>74</v>
      </c>
      <c r="AB203" t="s">
        <v>74</v>
      </c>
      <c r="AC203" t="s">
        <v>74</v>
      </c>
      <c r="AD203" t="s">
        <v>74</v>
      </c>
      <c r="AE203" t="s">
        <v>74</v>
      </c>
      <c r="AF203" t="s">
        <v>74</v>
      </c>
      <c r="AG203">
        <v>32</v>
      </c>
      <c r="AH203">
        <v>6</v>
      </c>
      <c r="AI203">
        <v>7</v>
      </c>
      <c r="AJ203">
        <v>0</v>
      </c>
      <c r="AK203">
        <v>5</v>
      </c>
      <c r="AL203" t="s">
        <v>2783</v>
      </c>
      <c r="AM203" t="s">
        <v>115</v>
      </c>
      <c r="AN203" t="s">
        <v>2784</v>
      </c>
      <c r="AO203" t="s">
        <v>2785</v>
      </c>
      <c r="AP203" t="s">
        <v>74</v>
      </c>
      <c r="AQ203" t="s">
        <v>2824</v>
      </c>
      <c r="AR203" t="s">
        <v>2825</v>
      </c>
      <c r="AS203" t="s">
        <v>74</v>
      </c>
      <c r="AT203" t="s">
        <v>74</v>
      </c>
      <c r="AU203">
        <v>1998</v>
      </c>
      <c r="AV203">
        <v>27</v>
      </c>
      <c r="AW203" t="s">
        <v>74</v>
      </c>
      <c r="AX203" t="s">
        <v>74</v>
      </c>
      <c r="AY203" t="s">
        <v>74</v>
      </c>
      <c r="AZ203" t="s">
        <v>74</v>
      </c>
      <c r="BA203" t="s">
        <v>74</v>
      </c>
      <c r="BB203">
        <v>7</v>
      </c>
      <c r="BC203">
        <v>18</v>
      </c>
      <c r="BD203" t="s">
        <v>74</v>
      </c>
      <c r="BE203" t="s">
        <v>74</v>
      </c>
      <c r="BF203" t="s">
        <v>74</v>
      </c>
      <c r="BG203" t="s">
        <v>74</v>
      </c>
      <c r="BH203" t="s">
        <v>74</v>
      </c>
      <c r="BI203">
        <v>12</v>
      </c>
      <c r="BJ203" t="s">
        <v>2826</v>
      </c>
      <c r="BK203" t="s">
        <v>397</v>
      </c>
      <c r="BL203" t="s">
        <v>2827</v>
      </c>
      <c r="BM203" t="s">
        <v>2828</v>
      </c>
      <c r="BN203" t="s">
        <v>74</v>
      </c>
      <c r="BO203" t="s">
        <v>74</v>
      </c>
      <c r="BP203" t="s">
        <v>74</v>
      </c>
      <c r="BQ203" t="s">
        <v>74</v>
      </c>
      <c r="BR203" t="s">
        <v>101</v>
      </c>
      <c r="BS203" t="s">
        <v>2837</v>
      </c>
      <c r="BT203" t="str">
        <f>HYPERLINK("https%3A%2F%2Fwww.webofscience.com%2Fwos%2Fwoscc%2Ffull-record%2FWOS:000079713100002","View Full Record in Web of Science")</f>
        <v>View Full Record in Web of Science</v>
      </c>
    </row>
    <row r="204" spans="1:72" x14ac:dyDescent="0.15">
      <c r="A204" t="s">
        <v>1540</v>
      </c>
      <c r="B204" t="s">
        <v>2838</v>
      </c>
      <c r="C204" t="s">
        <v>74</v>
      </c>
      <c r="D204" t="s">
        <v>2810</v>
      </c>
      <c r="E204" t="s">
        <v>74</v>
      </c>
      <c r="F204" t="s">
        <v>2838</v>
      </c>
      <c r="G204" t="s">
        <v>74</v>
      </c>
      <c r="H204" t="s">
        <v>74</v>
      </c>
      <c r="I204" t="s">
        <v>2839</v>
      </c>
      <c r="J204" t="s">
        <v>2812</v>
      </c>
      <c r="K204" t="s">
        <v>2813</v>
      </c>
      <c r="L204" t="s">
        <v>74</v>
      </c>
      <c r="M204" t="s">
        <v>77</v>
      </c>
      <c r="N204" t="s">
        <v>379</v>
      </c>
      <c r="O204" t="s">
        <v>2814</v>
      </c>
      <c r="P204" t="s">
        <v>2815</v>
      </c>
      <c r="Q204" t="s">
        <v>2816</v>
      </c>
      <c r="R204" t="s">
        <v>74</v>
      </c>
      <c r="S204" t="s">
        <v>74</v>
      </c>
      <c r="T204" t="s">
        <v>74</v>
      </c>
      <c r="U204" t="s">
        <v>74</v>
      </c>
      <c r="V204" t="s">
        <v>2840</v>
      </c>
      <c r="W204" t="s">
        <v>2841</v>
      </c>
      <c r="X204" t="s">
        <v>2842</v>
      </c>
      <c r="Y204" t="s">
        <v>2843</v>
      </c>
      <c r="Z204" t="s">
        <v>74</v>
      </c>
      <c r="AA204" t="s">
        <v>2844</v>
      </c>
      <c r="AB204" t="s">
        <v>2845</v>
      </c>
      <c r="AC204" t="s">
        <v>74</v>
      </c>
      <c r="AD204" t="s">
        <v>74</v>
      </c>
      <c r="AE204" t="s">
        <v>74</v>
      </c>
      <c r="AF204" t="s">
        <v>74</v>
      </c>
      <c r="AG204">
        <v>16</v>
      </c>
      <c r="AH204">
        <v>13</v>
      </c>
      <c r="AI204">
        <v>14</v>
      </c>
      <c r="AJ204">
        <v>0</v>
      </c>
      <c r="AK204">
        <v>2</v>
      </c>
      <c r="AL204" t="s">
        <v>2783</v>
      </c>
      <c r="AM204" t="s">
        <v>115</v>
      </c>
      <c r="AN204" t="s">
        <v>2784</v>
      </c>
      <c r="AO204" t="s">
        <v>2785</v>
      </c>
      <c r="AP204" t="s">
        <v>74</v>
      </c>
      <c r="AQ204" t="s">
        <v>2824</v>
      </c>
      <c r="AR204" t="s">
        <v>2825</v>
      </c>
      <c r="AS204" t="s">
        <v>74</v>
      </c>
      <c r="AT204" t="s">
        <v>74</v>
      </c>
      <c r="AU204">
        <v>1998</v>
      </c>
      <c r="AV204">
        <v>27</v>
      </c>
      <c r="AW204" t="s">
        <v>74</v>
      </c>
      <c r="AX204" t="s">
        <v>74</v>
      </c>
      <c r="AY204" t="s">
        <v>74</v>
      </c>
      <c r="AZ204" t="s">
        <v>74</v>
      </c>
      <c r="BA204" t="s">
        <v>74</v>
      </c>
      <c r="BB204">
        <v>19</v>
      </c>
      <c r="BC204">
        <v>24</v>
      </c>
      <c r="BD204" t="s">
        <v>74</v>
      </c>
      <c r="BE204" t="s">
        <v>74</v>
      </c>
      <c r="BF204" t="s">
        <v>74</v>
      </c>
      <c r="BG204" t="s">
        <v>74</v>
      </c>
      <c r="BH204" t="s">
        <v>74</v>
      </c>
      <c r="BI204">
        <v>6</v>
      </c>
      <c r="BJ204" t="s">
        <v>2826</v>
      </c>
      <c r="BK204" t="s">
        <v>397</v>
      </c>
      <c r="BL204" t="s">
        <v>2827</v>
      </c>
      <c r="BM204" t="s">
        <v>2828</v>
      </c>
      <c r="BN204" t="s">
        <v>74</v>
      </c>
      <c r="BO204" t="s">
        <v>74</v>
      </c>
      <c r="BP204" t="s">
        <v>74</v>
      </c>
      <c r="BQ204" t="s">
        <v>74</v>
      </c>
      <c r="BR204" t="s">
        <v>101</v>
      </c>
      <c r="BS204" t="s">
        <v>2846</v>
      </c>
      <c r="BT204" t="str">
        <f>HYPERLINK("https%3A%2F%2Fwww.webofscience.com%2Fwos%2Fwoscc%2Ffull-record%2FWOS:000079713100003","View Full Record in Web of Science")</f>
        <v>View Full Record in Web of Science</v>
      </c>
    </row>
    <row r="205" spans="1:72" x14ac:dyDescent="0.15">
      <c r="A205" t="s">
        <v>1540</v>
      </c>
      <c r="B205" t="s">
        <v>2847</v>
      </c>
      <c r="C205" t="s">
        <v>74</v>
      </c>
      <c r="D205" t="s">
        <v>2810</v>
      </c>
      <c r="E205" t="s">
        <v>74</v>
      </c>
      <c r="F205" t="s">
        <v>2847</v>
      </c>
      <c r="G205" t="s">
        <v>74</v>
      </c>
      <c r="H205" t="s">
        <v>74</v>
      </c>
      <c r="I205" t="s">
        <v>2848</v>
      </c>
      <c r="J205" t="s">
        <v>2812</v>
      </c>
      <c r="K205" t="s">
        <v>2774</v>
      </c>
      <c r="L205" t="s">
        <v>74</v>
      </c>
      <c r="M205" t="s">
        <v>77</v>
      </c>
      <c r="N205" t="s">
        <v>379</v>
      </c>
      <c r="O205" t="s">
        <v>2814</v>
      </c>
      <c r="P205" t="s">
        <v>2815</v>
      </c>
      <c r="Q205" t="s">
        <v>2816</v>
      </c>
      <c r="R205" t="s">
        <v>74</v>
      </c>
      <c r="S205" t="s">
        <v>74</v>
      </c>
      <c r="T205" t="s">
        <v>74</v>
      </c>
      <c r="U205" t="s">
        <v>2849</v>
      </c>
      <c r="V205" t="s">
        <v>2850</v>
      </c>
      <c r="W205" t="s">
        <v>2851</v>
      </c>
      <c r="X205" t="s">
        <v>2852</v>
      </c>
      <c r="Y205" t="s">
        <v>2853</v>
      </c>
      <c r="Z205" t="s">
        <v>74</v>
      </c>
      <c r="AA205" t="s">
        <v>2854</v>
      </c>
      <c r="AB205" t="s">
        <v>2855</v>
      </c>
      <c r="AC205" t="s">
        <v>74</v>
      </c>
      <c r="AD205" t="s">
        <v>74</v>
      </c>
      <c r="AE205" t="s">
        <v>74</v>
      </c>
      <c r="AF205" t="s">
        <v>74</v>
      </c>
      <c r="AG205">
        <v>27</v>
      </c>
      <c r="AH205">
        <v>32</v>
      </c>
      <c r="AI205">
        <v>36</v>
      </c>
      <c r="AJ205">
        <v>0</v>
      </c>
      <c r="AK205">
        <v>5</v>
      </c>
      <c r="AL205" t="s">
        <v>2783</v>
      </c>
      <c r="AM205" t="s">
        <v>115</v>
      </c>
      <c r="AN205" t="s">
        <v>2856</v>
      </c>
      <c r="AO205" t="s">
        <v>2785</v>
      </c>
      <c r="AP205" t="s">
        <v>74</v>
      </c>
      <c r="AQ205" t="s">
        <v>2824</v>
      </c>
      <c r="AR205" t="s">
        <v>2787</v>
      </c>
      <c r="AS205" t="s">
        <v>74</v>
      </c>
      <c r="AT205" t="s">
        <v>74</v>
      </c>
      <c r="AU205">
        <v>1998</v>
      </c>
      <c r="AV205">
        <v>27</v>
      </c>
      <c r="AW205" t="s">
        <v>74</v>
      </c>
      <c r="AX205" t="s">
        <v>74</v>
      </c>
      <c r="AY205" t="s">
        <v>74</v>
      </c>
      <c r="AZ205" t="s">
        <v>74</v>
      </c>
      <c r="BA205" t="s">
        <v>74</v>
      </c>
      <c r="BB205">
        <v>25</v>
      </c>
      <c r="BC205">
        <v>32</v>
      </c>
      <c r="BD205" t="s">
        <v>74</v>
      </c>
      <c r="BE205" t="s">
        <v>74</v>
      </c>
      <c r="BF205" t="s">
        <v>74</v>
      </c>
      <c r="BG205" t="s">
        <v>74</v>
      </c>
      <c r="BH205" t="s">
        <v>74</v>
      </c>
      <c r="BI205">
        <v>8</v>
      </c>
      <c r="BJ205" t="s">
        <v>2826</v>
      </c>
      <c r="BK205" t="s">
        <v>397</v>
      </c>
      <c r="BL205" t="s">
        <v>2827</v>
      </c>
      <c r="BM205" t="s">
        <v>2828</v>
      </c>
      <c r="BN205" t="s">
        <v>74</v>
      </c>
      <c r="BO205" t="s">
        <v>74</v>
      </c>
      <c r="BP205" t="s">
        <v>74</v>
      </c>
      <c r="BQ205" t="s">
        <v>74</v>
      </c>
      <c r="BR205" t="s">
        <v>101</v>
      </c>
      <c r="BS205" t="s">
        <v>2857</v>
      </c>
      <c r="BT205" t="str">
        <f>HYPERLINK("https%3A%2F%2Fwww.webofscience.com%2Fwos%2Fwoscc%2Ffull-record%2FWOS:000079713100004","View Full Record in Web of Science")</f>
        <v>View Full Record in Web of Science</v>
      </c>
    </row>
    <row r="206" spans="1:72" x14ac:dyDescent="0.15">
      <c r="A206" t="s">
        <v>1540</v>
      </c>
      <c r="B206" t="s">
        <v>2858</v>
      </c>
      <c r="C206" t="s">
        <v>74</v>
      </c>
      <c r="D206" t="s">
        <v>2810</v>
      </c>
      <c r="E206" t="s">
        <v>74</v>
      </c>
      <c r="F206" t="s">
        <v>2858</v>
      </c>
      <c r="G206" t="s">
        <v>74</v>
      </c>
      <c r="H206" t="s">
        <v>74</v>
      </c>
      <c r="I206" t="s">
        <v>2859</v>
      </c>
      <c r="J206" t="s">
        <v>2812</v>
      </c>
      <c r="K206" t="s">
        <v>2813</v>
      </c>
      <c r="L206" t="s">
        <v>74</v>
      </c>
      <c r="M206" t="s">
        <v>77</v>
      </c>
      <c r="N206" t="s">
        <v>379</v>
      </c>
      <c r="O206" t="s">
        <v>2814</v>
      </c>
      <c r="P206" t="s">
        <v>2815</v>
      </c>
      <c r="Q206" t="s">
        <v>2816</v>
      </c>
      <c r="R206" t="s">
        <v>74</v>
      </c>
      <c r="S206" t="s">
        <v>74</v>
      </c>
      <c r="T206" t="s">
        <v>74</v>
      </c>
      <c r="U206" t="s">
        <v>2860</v>
      </c>
      <c r="V206" t="s">
        <v>2861</v>
      </c>
      <c r="W206" t="s">
        <v>2862</v>
      </c>
      <c r="X206" t="s">
        <v>2863</v>
      </c>
      <c r="Y206" t="s">
        <v>2864</v>
      </c>
      <c r="Z206" t="s">
        <v>74</v>
      </c>
      <c r="AA206" t="s">
        <v>2865</v>
      </c>
      <c r="AB206" t="s">
        <v>74</v>
      </c>
      <c r="AC206" t="s">
        <v>74</v>
      </c>
      <c r="AD206" t="s">
        <v>74</v>
      </c>
      <c r="AE206" t="s">
        <v>74</v>
      </c>
      <c r="AF206" t="s">
        <v>74</v>
      </c>
      <c r="AG206">
        <v>21</v>
      </c>
      <c r="AH206">
        <v>17</v>
      </c>
      <c r="AI206">
        <v>18</v>
      </c>
      <c r="AJ206">
        <v>0</v>
      </c>
      <c r="AK206">
        <v>8</v>
      </c>
      <c r="AL206" t="s">
        <v>2783</v>
      </c>
      <c r="AM206" t="s">
        <v>115</v>
      </c>
      <c r="AN206" t="s">
        <v>2784</v>
      </c>
      <c r="AO206" t="s">
        <v>2785</v>
      </c>
      <c r="AP206" t="s">
        <v>74</v>
      </c>
      <c r="AQ206" t="s">
        <v>2824</v>
      </c>
      <c r="AR206" t="s">
        <v>2825</v>
      </c>
      <c r="AS206" t="s">
        <v>74</v>
      </c>
      <c r="AT206" t="s">
        <v>74</v>
      </c>
      <c r="AU206">
        <v>1998</v>
      </c>
      <c r="AV206">
        <v>27</v>
      </c>
      <c r="AW206" t="s">
        <v>74</v>
      </c>
      <c r="AX206" t="s">
        <v>74</v>
      </c>
      <c r="AY206" t="s">
        <v>74</v>
      </c>
      <c r="AZ206" t="s">
        <v>74</v>
      </c>
      <c r="BA206" t="s">
        <v>74</v>
      </c>
      <c r="BB206">
        <v>33</v>
      </c>
      <c r="BC206">
        <v>40</v>
      </c>
      <c r="BD206" t="s">
        <v>74</v>
      </c>
      <c r="BE206" t="s">
        <v>74</v>
      </c>
      <c r="BF206" t="s">
        <v>74</v>
      </c>
      <c r="BG206" t="s">
        <v>74</v>
      </c>
      <c r="BH206" t="s">
        <v>74</v>
      </c>
      <c r="BI206">
        <v>8</v>
      </c>
      <c r="BJ206" t="s">
        <v>2826</v>
      </c>
      <c r="BK206" t="s">
        <v>397</v>
      </c>
      <c r="BL206" t="s">
        <v>2827</v>
      </c>
      <c r="BM206" t="s">
        <v>2828</v>
      </c>
      <c r="BN206" t="s">
        <v>74</v>
      </c>
      <c r="BO206" t="s">
        <v>74</v>
      </c>
      <c r="BP206" t="s">
        <v>74</v>
      </c>
      <c r="BQ206" t="s">
        <v>74</v>
      </c>
      <c r="BR206" t="s">
        <v>101</v>
      </c>
      <c r="BS206" t="s">
        <v>2866</v>
      </c>
      <c r="BT206" t="str">
        <f>HYPERLINK("https%3A%2F%2Fwww.webofscience.com%2Fwos%2Fwoscc%2Ffull-record%2FWOS:000079713100005","View Full Record in Web of Science")</f>
        <v>View Full Record in Web of Science</v>
      </c>
    </row>
    <row r="207" spans="1:72" x14ac:dyDescent="0.15">
      <c r="A207" t="s">
        <v>1540</v>
      </c>
      <c r="B207" t="s">
        <v>2867</v>
      </c>
      <c r="C207" t="s">
        <v>74</v>
      </c>
      <c r="D207" t="s">
        <v>2810</v>
      </c>
      <c r="E207" t="s">
        <v>74</v>
      </c>
      <c r="F207" t="s">
        <v>2867</v>
      </c>
      <c r="G207" t="s">
        <v>74</v>
      </c>
      <c r="H207" t="s">
        <v>74</v>
      </c>
      <c r="I207" t="s">
        <v>2868</v>
      </c>
      <c r="J207" t="s">
        <v>2812</v>
      </c>
      <c r="K207" t="s">
        <v>2813</v>
      </c>
      <c r="L207" t="s">
        <v>74</v>
      </c>
      <c r="M207" t="s">
        <v>77</v>
      </c>
      <c r="N207" t="s">
        <v>379</v>
      </c>
      <c r="O207" t="s">
        <v>2814</v>
      </c>
      <c r="P207" t="s">
        <v>2815</v>
      </c>
      <c r="Q207" t="s">
        <v>2816</v>
      </c>
      <c r="R207" t="s">
        <v>74</v>
      </c>
      <c r="S207" t="s">
        <v>74</v>
      </c>
      <c r="T207" t="s">
        <v>74</v>
      </c>
      <c r="U207" t="s">
        <v>2869</v>
      </c>
      <c r="V207" t="s">
        <v>2870</v>
      </c>
      <c r="W207" t="s">
        <v>2871</v>
      </c>
      <c r="X207" t="s">
        <v>2872</v>
      </c>
      <c r="Y207" t="s">
        <v>2873</v>
      </c>
      <c r="Z207" t="s">
        <v>74</v>
      </c>
      <c r="AA207" t="s">
        <v>74</v>
      </c>
      <c r="AB207" t="s">
        <v>74</v>
      </c>
      <c r="AC207" t="s">
        <v>74</v>
      </c>
      <c r="AD207" t="s">
        <v>74</v>
      </c>
      <c r="AE207" t="s">
        <v>74</v>
      </c>
      <c r="AF207" t="s">
        <v>74</v>
      </c>
      <c r="AG207">
        <v>30</v>
      </c>
      <c r="AH207">
        <v>48</v>
      </c>
      <c r="AI207">
        <v>49</v>
      </c>
      <c r="AJ207">
        <v>0</v>
      </c>
      <c r="AK207">
        <v>8</v>
      </c>
      <c r="AL207" t="s">
        <v>2783</v>
      </c>
      <c r="AM207" t="s">
        <v>115</v>
      </c>
      <c r="AN207" t="s">
        <v>2784</v>
      </c>
      <c r="AO207" t="s">
        <v>2785</v>
      </c>
      <c r="AP207" t="s">
        <v>74</v>
      </c>
      <c r="AQ207" t="s">
        <v>2824</v>
      </c>
      <c r="AR207" t="s">
        <v>2825</v>
      </c>
      <c r="AS207" t="s">
        <v>74</v>
      </c>
      <c r="AT207" t="s">
        <v>74</v>
      </c>
      <c r="AU207">
        <v>1998</v>
      </c>
      <c r="AV207">
        <v>27</v>
      </c>
      <c r="AW207" t="s">
        <v>74</v>
      </c>
      <c r="AX207" t="s">
        <v>74</v>
      </c>
      <c r="AY207" t="s">
        <v>74</v>
      </c>
      <c r="AZ207" t="s">
        <v>74</v>
      </c>
      <c r="BA207" t="s">
        <v>74</v>
      </c>
      <c r="BB207">
        <v>41</v>
      </c>
      <c r="BC207">
        <v>46</v>
      </c>
      <c r="BD207" t="s">
        <v>74</v>
      </c>
      <c r="BE207" t="s">
        <v>74</v>
      </c>
      <c r="BF207" t="s">
        <v>74</v>
      </c>
      <c r="BG207" t="s">
        <v>74</v>
      </c>
      <c r="BH207" t="s">
        <v>74</v>
      </c>
      <c r="BI207">
        <v>6</v>
      </c>
      <c r="BJ207" t="s">
        <v>2826</v>
      </c>
      <c r="BK207" t="s">
        <v>397</v>
      </c>
      <c r="BL207" t="s">
        <v>2827</v>
      </c>
      <c r="BM207" t="s">
        <v>2828</v>
      </c>
      <c r="BN207" t="s">
        <v>74</v>
      </c>
      <c r="BO207" t="s">
        <v>74</v>
      </c>
      <c r="BP207" t="s">
        <v>74</v>
      </c>
      <c r="BQ207" t="s">
        <v>74</v>
      </c>
      <c r="BR207" t="s">
        <v>101</v>
      </c>
      <c r="BS207" t="s">
        <v>2874</v>
      </c>
      <c r="BT207" t="str">
        <f>HYPERLINK("https%3A%2F%2Fwww.webofscience.com%2Fwos%2Fwoscc%2Ffull-record%2FWOS:000079713100006","View Full Record in Web of Science")</f>
        <v>View Full Record in Web of Science</v>
      </c>
    </row>
    <row r="208" spans="1:72" x14ac:dyDescent="0.15">
      <c r="A208" t="s">
        <v>1540</v>
      </c>
      <c r="B208" t="s">
        <v>2875</v>
      </c>
      <c r="C208" t="s">
        <v>74</v>
      </c>
      <c r="D208" t="s">
        <v>2810</v>
      </c>
      <c r="E208" t="s">
        <v>74</v>
      </c>
      <c r="F208" t="s">
        <v>2875</v>
      </c>
      <c r="G208" t="s">
        <v>74</v>
      </c>
      <c r="H208" t="s">
        <v>74</v>
      </c>
      <c r="I208" t="s">
        <v>2876</v>
      </c>
      <c r="J208" t="s">
        <v>2812</v>
      </c>
      <c r="K208" t="s">
        <v>2813</v>
      </c>
      <c r="L208" t="s">
        <v>74</v>
      </c>
      <c r="M208" t="s">
        <v>77</v>
      </c>
      <c r="N208" t="s">
        <v>379</v>
      </c>
      <c r="O208" t="s">
        <v>2814</v>
      </c>
      <c r="P208" t="s">
        <v>2815</v>
      </c>
      <c r="Q208" t="s">
        <v>2816</v>
      </c>
      <c r="R208" t="s">
        <v>74</v>
      </c>
      <c r="S208" t="s">
        <v>74</v>
      </c>
      <c r="T208" t="s">
        <v>74</v>
      </c>
      <c r="U208" t="s">
        <v>2877</v>
      </c>
      <c r="V208" t="s">
        <v>2878</v>
      </c>
      <c r="W208" t="s">
        <v>2879</v>
      </c>
      <c r="X208" t="s">
        <v>2880</v>
      </c>
      <c r="Y208" t="s">
        <v>2881</v>
      </c>
      <c r="Z208" t="s">
        <v>74</v>
      </c>
      <c r="AA208" t="s">
        <v>74</v>
      </c>
      <c r="AB208" t="s">
        <v>74</v>
      </c>
      <c r="AC208" t="s">
        <v>74</v>
      </c>
      <c r="AD208" t="s">
        <v>74</v>
      </c>
      <c r="AE208" t="s">
        <v>74</v>
      </c>
      <c r="AF208" t="s">
        <v>74</v>
      </c>
      <c r="AG208">
        <v>27</v>
      </c>
      <c r="AH208">
        <v>14</v>
      </c>
      <c r="AI208">
        <v>15</v>
      </c>
      <c r="AJ208">
        <v>0</v>
      </c>
      <c r="AK208">
        <v>10</v>
      </c>
      <c r="AL208" t="s">
        <v>2783</v>
      </c>
      <c r="AM208" t="s">
        <v>115</v>
      </c>
      <c r="AN208" t="s">
        <v>2784</v>
      </c>
      <c r="AO208" t="s">
        <v>2785</v>
      </c>
      <c r="AP208" t="s">
        <v>74</v>
      </c>
      <c r="AQ208" t="s">
        <v>2824</v>
      </c>
      <c r="AR208" t="s">
        <v>2825</v>
      </c>
      <c r="AS208" t="s">
        <v>74</v>
      </c>
      <c r="AT208" t="s">
        <v>74</v>
      </c>
      <c r="AU208">
        <v>1998</v>
      </c>
      <c r="AV208">
        <v>27</v>
      </c>
      <c r="AW208" t="s">
        <v>74</v>
      </c>
      <c r="AX208" t="s">
        <v>74</v>
      </c>
      <c r="AY208" t="s">
        <v>74</v>
      </c>
      <c r="AZ208" t="s">
        <v>74</v>
      </c>
      <c r="BA208" t="s">
        <v>74</v>
      </c>
      <c r="BB208">
        <v>47</v>
      </c>
      <c r="BC208">
        <v>53</v>
      </c>
      <c r="BD208" t="s">
        <v>74</v>
      </c>
      <c r="BE208" t="s">
        <v>74</v>
      </c>
      <c r="BF208" t="s">
        <v>74</v>
      </c>
      <c r="BG208" t="s">
        <v>74</v>
      </c>
      <c r="BH208" t="s">
        <v>74</v>
      </c>
      <c r="BI208">
        <v>7</v>
      </c>
      <c r="BJ208" t="s">
        <v>2826</v>
      </c>
      <c r="BK208" t="s">
        <v>397</v>
      </c>
      <c r="BL208" t="s">
        <v>2827</v>
      </c>
      <c r="BM208" t="s">
        <v>2828</v>
      </c>
      <c r="BN208" t="s">
        <v>74</v>
      </c>
      <c r="BO208" t="s">
        <v>74</v>
      </c>
      <c r="BP208" t="s">
        <v>74</v>
      </c>
      <c r="BQ208" t="s">
        <v>74</v>
      </c>
      <c r="BR208" t="s">
        <v>101</v>
      </c>
      <c r="BS208" t="s">
        <v>2882</v>
      </c>
      <c r="BT208" t="str">
        <f>HYPERLINK("https%3A%2F%2Fwww.webofscience.com%2Fwos%2Fwoscc%2Ffull-record%2FWOS:000079713100007","View Full Record in Web of Science")</f>
        <v>View Full Record in Web of Science</v>
      </c>
    </row>
    <row r="209" spans="1:72" x14ac:dyDescent="0.15">
      <c r="A209" t="s">
        <v>1540</v>
      </c>
      <c r="B209" t="s">
        <v>2883</v>
      </c>
      <c r="C209" t="s">
        <v>74</v>
      </c>
      <c r="D209" t="s">
        <v>2810</v>
      </c>
      <c r="E209" t="s">
        <v>74</v>
      </c>
      <c r="F209" t="s">
        <v>2883</v>
      </c>
      <c r="G209" t="s">
        <v>74</v>
      </c>
      <c r="H209" t="s">
        <v>74</v>
      </c>
      <c r="I209" t="s">
        <v>2884</v>
      </c>
      <c r="J209" t="s">
        <v>2812</v>
      </c>
      <c r="K209" t="s">
        <v>2813</v>
      </c>
      <c r="L209" t="s">
        <v>74</v>
      </c>
      <c r="M209" t="s">
        <v>77</v>
      </c>
      <c r="N209" t="s">
        <v>379</v>
      </c>
      <c r="O209" t="s">
        <v>2814</v>
      </c>
      <c r="P209" t="s">
        <v>2815</v>
      </c>
      <c r="Q209" t="s">
        <v>2816</v>
      </c>
      <c r="R209" t="s">
        <v>74</v>
      </c>
      <c r="S209" t="s">
        <v>74</v>
      </c>
      <c r="T209" t="s">
        <v>74</v>
      </c>
      <c r="U209" t="s">
        <v>2885</v>
      </c>
      <c r="V209" t="s">
        <v>2886</v>
      </c>
      <c r="W209" t="s">
        <v>2887</v>
      </c>
      <c r="X209" t="s">
        <v>2888</v>
      </c>
      <c r="Y209" t="s">
        <v>2889</v>
      </c>
      <c r="Z209" t="s">
        <v>74</v>
      </c>
      <c r="AA209" t="s">
        <v>2890</v>
      </c>
      <c r="AB209" t="s">
        <v>2891</v>
      </c>
      <c r="AC209" t="s">
        <v>74</v>
      </c>
      <c r="AD209" t="s">
        <v>74</v>
      </c>
      <c r="AE209" t="s">
        <v>74</v>
      </c>
      <c r="AF209" t="s">
        <v>74</v>
      </c>
      <c r="AG209">
        <v>22</v>
      </c>
      <c r="AH209">
        <v>50</v>
      </c>
      <c r="AI209">
        <v>56</v>
      </c>
      <c r="AJ209">
        <v>0</v>
      </c>
      <c r="AK209">
        <v>20</v>
      </c>
      <c r="AL209" t="s">
        <v>2783</v>
      </c>
      <c r="AM209" t="s">
        <v>115</v>
      </c>
      <c r="AN209" t="s">
        <v>2784</v>
      </c>
      <c r="AO209" t="s">
        <v>2785</v>
      </c>
      <c r="AP209" t="s">
        <v>74</v>
      </c>
      <c r="AQ209" t="s">
        <v>2824</v>
      </c>
      <c r="AR209" t="s">
        <v>2825</v>
      </c>
      <c r="AS209" t="s">
        <v>74</v>
      </c>
      <c r="AT209" t="s">
        <v>74</v>
      </c>
      <c r="AU209">
        <v>1998</v>
      </c>
      <c r="AV209">
        <v>27</v>
      </c>
      <c r="AW209" t="s">
        <v>74</v>
      </c>
      <c r="AX209" t="s">
        <v>74</v>
      </c>
      <c r="AY209" t="s">
        <v>74</v>
      </c>
      <c r="AZ209" t="s">
        <v>74</v>
      </c>
      <c r="BA209" t="s">
        <v>74</v>
      </c>
      <c r="BB209">
        <v>54</v>
      </c>
      <c r="BC209">
        <v>60</v>
      </c>
      <c r="BD209" t="s">
        <v>74</v>
      </c>
      <c r="BE209" t="s">
        <v>74</v>
      </c>
      <c r="BF209" t="s">
        <v>74</v>
      </c>
      <c r="BG209" t="s">
        <v>74</v>
      </c>
      <c r="BH209" t="s">
        <v>74</v>
      </c>
      <c r="BI209">
        <v>7</v>
      </c>
      <c r="BJ209" t="s">
        <v>2826</v>
      </c>
      <c r="BK209" t="s">
        <v>397</v>
      </c>
      <c r="BL209" t="s">
        <v>2827</v>
      </c>
      <c r="BM209" t="s">
        <v>2828</v>
      </c>
      <c r="BN209" t="s">
        <v>74</v>
      </c>
      <c r="BO209" t="s">
        <v>74</v>
      </c>
      <c r="BP209" t="s">
        <v>74</v>
      </c>
      <c r="BQ209" t="s">
        <v>74</v>
      </c>
      <c r="BR209" t="s">
        <v>101</v>
      </c>
      <c r="BS209" t="s">
        <v>2892</v>
      </c>
      <c r="BT209" t="str">
        <f>HYPERLINK("https%3A%2F%2Fwww.webofscience.com%2Fwos%2Fwoscc%2Ffull-record%2FWOS:000079713100008","View Full Record in Web of Science")</f>
        <v>View Full Record in Web of Science</v>
      </c>
    </row>
    <row r="210" spans="1:72" x14ac:dyDescent="0.15">
      <c r="A210" t="s">
        <v>1540</v>
      </c>
      <c r="B210" t="s">
        <v>2893</v>
      </c>
      <c r="C210" t="s">
        <v>74</v>
      </c>
      <c r="D210" t="s">
        <v>2810</v>
      </c>
      <c r="E210" t="s">
        <v>74</v>
      </c>
      <c r="F210" t="s">
        <v>2893</v>
      </c>
      <c r="G210" t="s">
        <v>74</v>
      </c>
      <c r="H210" t="s">
        <v>74</v>
      </c>
      <c r="I210" t="s">
        <v>2894</v>
      </c>
      <c r="J210" t="s">
        <v>2812</v>
      </c>
      <c r="K210" t="s">
        <v>2774</v>
      </c>
      <c r="L210" t="s">
        <v>74</v>
      </c>
      <c r="M210" t="s">
        <v>77</v>
      </c>
      <c r="N210" t="s">
        <v>379</v>
      </c>
      <c r="O210" t="s">
        <v>2814</v>
      </c>
      <c r="P210" t="s">
        <v>2815</v>
      </c>
      <c r="Q210" t="s">
        <v>2816</v>
      </c>
      <c r="R210" t="s">
        <v>74</v>
      </c>
      <c r="S210" t="s">
        <v>74</v>
      </c>
      <c r="T210" t="s">
        <v>74</v>
      </c>
      <c r="U210" t="s">
        <v>2895</v>
      </c>
      <c r="V210" t="s">
        <v>2896</v>
      </c>
      <c r="W210" t="s">
        <v>2897</v>
      </c>
      <c r="X210" t="s">
        <v>2898</v>
      </c>
      <c r="Y210" t="s">
        <v>2899</v>
      </c>
      <c r="Z210" t="s">
        <v>74</v>
      </c>
      <c r="AA210" t="s">
        <v>2900</v>
      </c>
      <c r="AB210" t="s">
        <v>2901</v>
      </c>
      <c r="AC210" t="s">
        <v>74</v>
      </c>
      <c r="AD210" t="s">
        <v>74</v>
      </c>
      <c r="AE210" t="s">
        <v>74</v>
      </c>
      <c r="AF210" t="s">
        <v>74</v>
      </c>
      <c r="AG210">
        <v>20</v>
      </c>
      <c r="AH210">
        <v>9</v>
      </c>
      <c r="AI210">
        <v>10</v>
      </c>
      <c r="AJ210">
        <v>0</v>
      </c>
      <c r="AK210">
        <v>2</v>
      </c>
      <c r="AL210" t="s">
        <v>2783</v>
      </c>
      <c r="AM210" t="s">
        <v>115</v>
      </c>
      <c r="AN210" t="s">
        <v>2856</v>
      </c>
      <c r="AO210" t="s">
        <v>2785</v>
      </c>
      <c r="AP210" t="s">
        <v>74</v>
      </c>
      <c r="AQ210" t="s">
        <v>2824</v>
      </c>
      <c r="AR210" t="s">
        <v>2787</v>
      </c>
      <c r="AS210" t="s">
        <v>74</v>
      </c>
      <c r="AT210" t="s">
        <v>74</v>
      </c>
      <c r="AU210">
        <v>1998</v>
      </c>
      <c r="AV210">
        <v>27</v>
      </c>
      <c r="AW210" t="s">
        <v>74</v>
      </c>
      <c r="AX210" t="s">
        <v>74</v>
      </c>
      <c r="AY210" t="s">
        <v>74</v>
      </c>
      <c r="AZ210" t="s">
        <v>74</v>
      </c>
      <c r="BA210" t="s">
        <v>74</v>
      </c>
      <c r="BB210">
        <v>61</v>
      </c>
      <c r="BC210">
        <v>67</v>
      </c>
      <c r="BD210" t="s">
        <v>74</v>
      </c>
      <c r="BE210" t="s">
        <v>74</v>
      </c>
      <c r="BF210" t="s">
        <v>74</v>
      </c>
      <c r="BG210" t="s">
        <v>74</v>
      </c>
      <c r="BH210" t="s">
        <v>74</v>
      </c>
      <c r="BI210">
        <v>7</v>
      </c>
      <c r="BJ210" t="s">
        <v>2826</v>
      </c>
      <c r="BK210" t="s">
        <v>397</v>
      </c>
      <c r="BL210" t="s">
        <v>2827</v>
      </c>
      <c r="BM210" t="s">
        <v>2828</v>
      </c>
      <c r="BN210" t="s">
        <v>74</v>
      </c>
      <c r="BO210" t="s">
        <v>74</v>
      </c>
      <c r="BP210" t="s">
        <v>74</v>
      </c>
      <c r="BQ210" t="s">
        <v>74</v>
      </c>
      <c r="BR210" t="s">
        <v>101</v>
      </c>
      <c r="BS210" t="s">
        <v>2902</v>
      </c>
      <c r="BT210" t="str">
        <f>HYPERLINK("https%3A%2F%2Fwww.webofscience.com%2Fwos%2Fwoscc%2Ffull-record%2FWOS:000079713100009","View Full Record in Web of Science")</f>
        <v>View Full Record in Web of Science</v>
      </c>
    </row>
    <row r="211" spans="1:72" x14ac:dyDescent="0.15">
      <c r="A211" t="s">
        <v>1540</v>
      </c>
      <c r="B211" t="s">
        <v>2903</v>
      </c>
      <c r="C211" t="s">
        <v>74</v>
      </c>
      <c r="D211" t="s">
        <v>2810</v>
      </c>
      <c r="E211" t="s">
        <v>74</v>
      </c>
      <c r="F211" t="s">
        <v>2903</v>
      </c>
      <c r="G211" t="s">
        <v>74</v>
      </c>
      <c r="H211" t="s">
        <v>74</v>
      </c>
      <c r="I211" t="s">
        <v>2904</v>
      </c>
      <c r="J211" t="s">
        <v>2812</v>
      </c>
      <c r="K211" t="s">
        <v>2774</v>
      </c>
      <c r="L211" t="s">
        <v>74</v>
      </c>
      <c r="M211" t="s">
        <v>77</v>
      </c>
      <c r="N211" t="s">
        <v>379</v>
      </c>
      <c r="O211" t="s">
        <v>2814</v>
      </c>
      <c r="P211" t="s">
        <v>2815</v>
      </c>
      <c r="Q211" t="s">
        <v>2816</v>
      </c>
      <c r="R211" t="s">
        <v>74</v>
      </c>
      <c r="S211" t="s">
        <v>74</v>
      </c>
      <c r="T211" t="s">
        <v>74</v>
      </c>
      <c r="U211" t="s">
        <v>2905</v>
      </c>
      <c r="V211" t="s">
        <v>2906</v>
      </c>
      <c r="W211" t="s">
        <v>2907</v>
      </c>
      <c r="X211" t="s">
        <v>2908</v>
      </c>
      <c r="Y211" t="s">
        <v>2909</v>
      </c>
      <c r="Z211" t="s">
        <v>74</v>
      </c>
      <c r="AA211" t="s">
        <v>2910</v>
      </c>
      <c r="AB211" t="s">
        <v>2911</v>
      </c>
      <c r="AC211" t="s">
        <v>74</v>
      </c>
      <c r="AD211" t="s">
        <v>74</v>
      </c>
      <c r="AE211" t="s">
        <v>74</v>
      </c>
      <c r="AF211" t="s">
        <v>74</v>
      </c>
      <c r="AG211">
        <v>16</v>
      </c>
      <c r="AH211">
        <v>29</v>
      </c>
      <c r="AI211">
        <v>31</v>
      </c>
      <c r="AJ211">
        <v>0</v>
      </c>
      <c r="AK211">
        <v>1</v>
      </c>
      <c r="AL211" t="s">
        <v>2783</v>
      </c>
      <c r="AM211" t="s">
        <v>115</v>
      </c>
      <c r="AN211" t="s">
        <v>2856</v>
      </c>
      <c r="AO211" t="s">
        <v>2785</v>
      </c>
      <c r="AP211" t="s">
        <v>74</v>
      </c>
      <c r="AQ211" t="s">
        <v>2824</v>
      </c>
      <c r="AR211" t="s">
        <v>2787</v>
      </c>
      <c r="AS211" t="s">
        <v>74</v>
      </c>
      <c r="AT211" t="s">
        <v>74</v>
      </c>
      <c r="AU211">
        <v>1998</v>
      </c>
      <c r="AV211">
        <v>27</v>
      </c>
      <c r="AW211" t="s">
        <v>74</v>
      </c>
      <c r="AX211" t="s">
        <v>74</v>
      </c>
      <c r="AY211" t="s">
        <v>74</v>
      </c>
      <c r="AZ211" t="s">
        <v>74</v>
      </c>
      <c r="BA211" t="s">
        <v>74</v>
      </c>
      <c r="BB211">
        <v>68</v>
      </c>
      <c r="BC211">
        <v>74</v>
      </c>
      <c r="BD211" t="s">
        <v>74</v>
      </c>
      <c r="BE211" t="s">
        <v>74</v>
      </c>
      <c r="BF211" t="s">
        <v>74</v>
      </c>
      <c r="BG211" t="s">
        <v>74</v>
      </c>
      <c r="BH211" t="s">
        <v>74</v>
      </c>
      <c r="BI211">
        <v>7</v>
      </c>
      <c r="BJ211" t="s">
        <v>2826</v>
      </c>
      <c r="BK211" t="s">
        <v>397</v>
      </c>
      <c r="BL211" t="s">
        <v>2827</v>
      </c>
      <c r="BM211" t="s">
        <v>2828</v>
      </c>
      <c r="BN211" t="s">
        <v>74</v>
      </c>
      <c r="BO211" t="s">
        <v>74</v>
      </c>
      <c r="BP211" t="s">
        <v>74</v>
      </c>
      <c r="BQ211" t="s">
        <v>74</v>
      </c>
      <c r="BR211" t="s">
        <v>101</v>
      </c>
      <c r="BS211" t="s">
        <v>2912</v>
      </c>
      <c r="BT211" t="str">
        <f>HYPERLINK("https%3A%2F%2Fwww.webofscience.com%2Fwos%2Fwoscc%2Ffull-record%2FWOS:000079713100010","View Full Record in Web of Science")</f>
        <v>View Full Record in Web of Science</v>
      </c>
    </row>
    <row r="212" spans="1:72" x14ac:dyDescent="0.15">
      <c r="A212" t="s">
        <v>1540</v>
      </c>
      <c r="B212" t="s">
        <v>2913</v>
      </c>
      <c r="C212" t="s">
        <v>74</v>
      </c>
      <c r="D212" t="s">
        <v>2810</v>
      </c>
      <c r="E212" t="s">
        <v>74</v>
      </c>
      <c r="F212" t="s">
        <v>2913</v>
      </c>
      <c r="G212" t="s">
        <v>74</v>
      </c>
      <c r="H212" t="s">
        <v>74</v>
      </c>
      <c r="I212" t="s">
        <v>2914</v>
      </c>
      <c r="J212" t="s">
        <v>2812</v>
      </c>
      <c r="K212" t="s">
        <v>2774</v>
      </c>
      <c r="L212" t="s">
        <v>74</v>
      </c>
      <c r="M212" t="s">
        <v>77</v>
      </c>
      <c r="N212" t="s">
        <v>379</v>
      </c>
      <c r="O212" t="s">
        <v>2814</v>
      </c>
      <c r="P212" t="s">
        <v>2815</v>
      </c>
      <c r="Q212" t="s">
        <v>2816</v>
      </c>
      <c r="R212" t="s">
        <v>74</v>
      </c>
      <c r="S212" t="s">
        <v>74</v>
      </c>
      <c r="T212" t="s">
        <v>74</v>
      </c>
      <c r="U212" t="s">
        <v>2915</v>
      </c>
      <c r="V212" t="s">
        <v>2916</v>
      </c>
      <c r="W212" t="s">
        <v>2917</v>
      </c>
      <c r="X212" t="s">
        <v>1714</v>
      </c>
      <c r="Y212" t="s">
        <v>2918</v>
      </c>
      <c r="Z212" t="s">
        <v>74</v>
      </c>
      <c r="AA212" t="s">
        <v>2919</v>
      </c>
      <c r="AB212" t="s">
        <v>2920</v>
      </c>
      <c r="AC212" t="s">
        <v>74</v>
      </c>
      <c r="AD212" t="s">
        <v>74</v>
      </c>
      <c r="AE212" t="s">
        <v>74</v>
      </c>
      <c r="AF212" t="s">
        <v>74</v>
      </c>
      <c r="AG212">
        <v>15</v>
      </c>
      <c r="AH212">
        <v>27</v>
      </c>
      <c r="AI212">
        <v>30</v>
      </c>
      <c r="AJ212">
        <v>0</v>
      </c>
      <c r="AK212">
        <v>3</v>
      </c>
      <c r="AL212" t="s">
        <v>2783</v>
      </c>
      <c r="AM212" t="s">
        <v>115</v>
      </c>
      <c r="AN212" t="s">
        <v>2856</v>
      </c>
      <c r="AO212" t="s">
        <v>2785</v>
      </c>
      <c r="AP212" t="s">
        <v>74</v>
      </c>
      <c r="AQ212" t="s">
        <v>2824</v>
      </c>
      <c r="AR212" t="s">
        <v>2787</v>
      </c>
      <c r="AS212" t="s">
        <v>74</v>
      </c>
      <c r="AT212" t="s">
        <v>74</v>
      </c>
      <c r="AU212">
        <v>1998</v>
      </c>
      <c r="AV212">
        <v>27</v>
      </c>
      <c r="AW212" t="s">
        <v>74</v>
      </c>
      <c r="AX212" t="s">
        <v>74</v>
      </c>
      <c r="AY212" t="s">
        <v>74</v>
      </c>
      <c r="AZ212" t="s">
        <v>74</v>
      </c>
      <c r="BA212" t="s">
        <v>74</v>
      </c>
      <c r="BB212">
        <v>75</v>
      </c>
      <c r="BC212">
        <v>80</v>
      </c>
      <c r="BD212" t="s">
        <v>74</v>
      </c>
      <c r="BE212" t="s">
        <v>74</v>
      </c>
      <c r="BF212" t="s">
        <v>74</v>
      </c>
      <c r="BG212" t="s">
        <v>74</v>
      </c>
      <c r="BH212" t="s">
        <v>74</v>
      </c>
      <c r="BI212">
        <v>6</v>
      </c>
      <c r="BJ212" t="s">
        <v>2826</v>
      </c>
      <c r="BK212" t="s">
        <v>397</v>
      </c>
      <c r="BL212" t="s">
        <v>2827</v>
      </c>
      <c r="BM212" t="s">
        <v>2828</v>
      </c>
      <c r="BN212" t="s">
        <v>74</v>
      </c>
      <c r="BO212" t="s">
        <v>74</v>
      </c>
      <c r="BP212" t="s">
        <v>74</v>
      </c>
      <c r="BQ212" t="s">
        <v>74</v>
      </c>
      <c r="BR212" t="s">
        <v>101</v>
      </c>
      <c r="BS212" t="s">
        <v>2921</v>
      </c>
      <c r="BT212" t="str">
        <f>HYPERLINK("https%3A%2F%2Fwww.webofscience.com%2Fwos%2Fwoscc%2Ffull-record%2FWOS:000079713100011","View Full Record in Web of Science")</f>
        <v>View Full Record in Web of Science</v>
      </c>
    </row>
    <row r="213" spans="1:72" x14ac:dyDescent="0.15">
      <c r="A213" t="s">
        <v>1540</v>
      </c>
      <c r="B213" t="s">
        <v>2922</v>
      </c>
      <c r="C213" t="s">
        <v>74</v>
      </c>
      <c r="D213" t="s">
        <v>2810</v>
      </c>
      <c r="E213" t="s">
        <v>74</v>
      </c>
      <c r="F213" t="s">
        <v>2922</v>
      </c>
      <c r="G213" t="s">
        <v>74</v>
      </c>
      <c r="H213" t="s">
        <v>74</v>
      </c>
      <c r="I213" t="s">
        <v>2923</v>
      </c>
      <c r="J213" t="s">
        <v>2812</v>
      </c>
      <c r="K213" t="s">
        <v>2813</v>
      </c>
      <c r="L213" t="s">
        <v>74</v>
      </c>
      <c r="M213" t="s">
        <v>77</v>
      </c>
      <c r="N213" t="s">
        <v>379</v>
      </c>
      <c r="O213" t="s">
        <v>2814</v>
      </c>
      <c r="P213" t="s">
        <v>2815</v>
      </c>
      <c r="Q213" t="s">
        <v>2816</v>
      </c>
      <c r="R213" t="s">
        <v>74</v>
      </c>
      <c r="S213" t="s">
        <v>74</v>
      </c>
      <c r="T213" t="s">
        <v>74</v>
      </c>
      <c r="U213" t="s">
        <v>2924</v>
      </c>
      <c r="V213" t="s">
        <v>2925</v>
      </c>
      <c r="W213" t="s">
        <v>2926</v>
      </c>
      <c r="X213" t="s">
        <v>2927</v>
      </c>
      <c r="Y213" t="s">
        <v>2928</v>
      </c>
      <c r="Z213" t="s">
        <v>74</v>
      </c>
      <c r="AA213" t="s">
        <v>2929</v>
      </c>
      <c r="AB213" t="s">
        <v>2930</v>
      </c>
      <c r="AC213" t="s">
        <v>74</v>
      </c>
      <c r="AD213" t="s">
        <v>74</v>
      </c>
      <c r="AE213" t="s">
        <v>74</v>
      </c>
      <c r="AF213" t="s">
        <v>74</v>
      </c>
      <c r="AG213">
        <v>24</v>
      </c>
      <c r="AH213">
        <v>7</v>
      </c>
      <c r="AI213">
        <v>7</v>
      </c>
      <c r="AJ213">
        <v>0</v>
      </c>
      <c r="AK213">
        <v>5</v>
      </c>
      <c r="AL213" t="s">
        <v>2783</v>
      </c>
      <c r="AM213" t="s">
        <v>115</v>
      </c>
      <c r="AN213" t="s">
        <v>2784</v>
      </c>
      <c r="AO213" t="s">
        <v>2785</v>
      </c>
      <c r="AP213" t="s">
        <v>74</v>
      </c>
      <c r="AQ213" t="s">
        <v>2824</v>
      </c>
      <c r="AR213" t="s">
        <v>2825</v>
      </c>
      <c r="AS213" t="s">
        <v>74</v>
      </c>
      <c r="AT213" t="s">
        <v>74</v>
      </c>
      <c r="AU213">
        <v>1998</v>
      </c>
      <c r="AV213">
        <v>27</v>
      </c>
      <c r="AW213" t="s">
        <v>74</v>
      </c>
      <c r="AX213" t="s">
        <v>74</v>
      </c>
      <c r="AY213" t="s">
        <v>74</v>
      </c>
      <c r="AZ213" t="s">
        <v>74</v>
      </c>
      <c r="BA213" t="s">
        <v>74</v>
      </c>
      <c r="BB213">
        <v>81</v>
      </c>
      <c r="BC213">
        <v>85</v>
      </c>
      <c r="BD213" t="s">
        <v>74</v>
      </c>
      <c r="BE213" t="s">
        <v>74</v>
      </c>
      <c r="BF213" t="s">
        <v>74</v>
      </c>
      <c r="BG213" t="s">
        <v>74</v>
      </c>
      <c r="BH213" t="s">
        <v>74</v>
      </c>
      <c r="BI213">
        <v>5</v>
      </c>
      <c r="BJ213" t="s">
        <v>2826</v>
      </c>
      <c r="BK213" t="s">
        <v>397</v>
      </c>
      <c r="BL213" t="s">
        <v>2827</v>
      </c>
      <c r="BM213" t="s">
        <v>2828</v>
      </c>
      <c r="BN213" t="s">
        <v>74</v>
      </c>
      <c r="BO213" t="s">
        <v>74</v>
      </c>
      <c r="BP213" t="s">
        <v>74</v>
      </c>
      <c r="BQ213" t="s">
        <v>74</v>
      </c>
      <c r="BR213" t="s">
        <v>101</v>
      </c>
      <c r="BS213" t="s">
        <v>2931</v>
      </c>
      <c r="BT213" t="str">
        <f>HYPERLINK("https%3A%2F%2Fwww.webofscience.com%2Fwos%2Fwoscc%2Ffull-record%2FWOS:000079713100012","View Full Record in Web of Science")</f>
        <v>View Full Record in Web of Science</v>
      </c>
    </row>
    <row r="214" spans="1:72" x14ac:dyDescent="0.15">
      <c r="A214" t="s">
        <v>1540</v>
      </c>
      <c r="B214" t="s">
        <v>2932</v>
      </c>
      <c r="C214" t="s">
        <v>74</v>
      </c>
      <c r="D214" t="s">
        <v>2810</v>
      </c>
      <c r="E214" t="s">
        <v>74</v>
      </c>
      <c r="F214" t="s">
        <v>2932</v>
      </c>
      <c r="G214" t="s">
        <v>74</v>
      </c>
      <c r="H214" t="s">
        <v>74</v>
      </c>
      <c r="I214" t="s">
        <v>2933</v>
      </c>
      <c r="J214" t="s">
        <v>2812</v>
      </c>
      <c r="K214" t="s">
        <v>2813</v>
      </c>
      <c r="L214" t="s">
        <v>74</v>
      </c>
      <c r="M214" t="s">
        <v>77</v>
      </c>
      <c r="N214" t="s">
        <v>379</v>
      </c>
      <c r="O214" t="s">
        <v>2814</v>
      </c>
      <c r="P214" t="s">
        <v>2815</v>
      </c>
      <c r="Q214" t="s">
        <v>2816</v>
      </c>
      <c r="R214" t="s">
        <v>74</v>
      </c>
      <c r="S214" t="s">
        <v>74</v>
      </c>
      <c r="T214" t="s">
        <v>74</v>
      </c>
      <c r="U214" t="s">
        <v>74</v>
      </c>
      <c r="V214" t="s">
        <v>2934</v>
      </c>
      <c r="W214" t="s">
        <v>2935</v>
      </c>
      <c r="X214" t="s">
        <v>2936</v>
      </c>
      <c r="Y214" t="s">
        <v>2937</v>
      </c>
      <c r="Z214" t="s">
        <v>74</v>
      </c>
      <c r="AA214" t="s">
        <v>2938</v>
      </c>
      <c r="AB214" t="s">
        <v>2939</v>
      </c>
      <c r="AC214" t="s">
        <v>74</v>
      </c>
      <c r="AD214" t="s">
        <v>74</v>
      </c>
      <c r="AE214" t="s">
        <v>74</v>
      </c>
      <c r="AF214" t="s">
        <v>74</v>
      </c>
      <c r="AG214">
        <v>12</v>
      </c>
      <c r="AH214">
        <v>82</v>
      </c>
      <c r="AI214">
        <v>87</v>
      </c>
      <c r="AJ214">
        <v>0</v>
      </c>
      <c r="AK214">
        <v>9</v>
      </c>
      <c r="AL214" t="s">
        <v>2783</v>
      </c>
      <c r="AM214" t="s">
        <v>115</v>
      </c>
      <c r="AN214" t="s">
        <v>2784</v>
      </c>
      <c r="AO214" t="s">
        <v>2785</v>
      </c>
      <c r="AP214" t="s">
        <v>74</v>
      </c>
      <c r="AQ214" t="s">
        <v>2824</v>
      </c>
      <c r="AR214" t="s">
        <v>2825</v>
      </c>
      <c r="AS214" t="s">
        <v>74</v>
      </c>
      <c r="AT214" t="s">
        <v>74</v>
      </c>
      <c r="AU214">
        <v>1998</v>
      </c>
      <c r="AV214">
        <v>27</v>
      </c>
      <c r="AW214" t="s">
        <v>74</v>
      </c>
      <c r="AX214" t="s">
        <v>74</v>
      </c>
      <c r="AY214" t="s">
        <v>74</v>
      </c>
      <c r="AZ214" t="s">
        <v>74</v>
      </c>
      <c r="BA214" t="s">
        <v>74</v>
      </c>
      <c r="BB214">
        <v>86</v>
      </c>
      <c r="BC214">
        <v>92</v>
      </c>
      <c r="BD214" t="s">
        <v>74</v>
      </c>
      <c r="BE214" t="s">
        <v>74</v>
      </c>
      <c r="BF214" t="s">
        <v>74</v>
      </c>
      <c r="BG214" t="s">
        <v>74</v>
      </c>
      <c r="BH214" t="s">
        <v>74</v>
      </c>
      <c r="BI214">
        <v>7</v>
      </c>
      <c r="BJ214" t="s">
        <v>2826</v>
      </c>
      <c r="BK214" t="s">
        <v>397</v>
      </c>
      <c r="BL214" t="s">
        <v>2827</v>
      </c>
      <c r="BM214" t="s">
        <v>2828</v>
      </c>
      <c r="BN214" t="s">
        <v>74</v>
      </c>
      <c r="BO214" t="s">
        <v>74</v>
      </c>
      <c r="BP214" t="s">
        <v>74</v>
      </c>
      <c r="BQ214" t="s">
        <v>74</v>
      </c>
      <c r="BR214" t="s">
        <v>101</v>
      </c>
      <c r="BS214" t="s">
        <v>2940</v>
      </c>
      <c r="BT214" t="str">
        <f>HYPERLINK("https%3A%2F%2Fwww.webofscience.com%2Fwos%2Fwoscc%2Ffull-record%2FWOS:000079713100013","View Full Record in Web of Science")</f>
        <v>View Full Record in Web of Science</v>
      </c>
    </row>
    <row r="215" spans="1:72" x14ac:dyDescent="0.15">
      <c r="A215" t="s">
        <v>1540</v>
      </c>
      <c r="B215" t="s">
        <v>2941</v>
      </c>
      <c r="C215" t="s">
        <v>74</v>
      </c>
      <c r="D215" t="s">
        <v>2810</v>
      </c>
      <c r="E215" t="s">
        <v>74</v>
      </c>
      <c r="F215" t="s">
        <v>2941</v>
      </c>
      <c r="G215" t="s">
        <v>74</v>
      </c>
      <c r="H215" t="s">
        <v>74</v>
      </c>
      <c r="I215" t="s">
        <v>2942</v>
      </c>
      <c r="J215" t="s">
        <v>2812</v>
      </c>
      <c r="K215" t="s">
        <v>2774</v>
      </c>
      <c r="L215" t="s">
        <v>74</v>
      </c>
      <c r="M215" t="s">
        <v>77</v>
      </c>
      <c r="N215" t="s">
        <v>379</v>
      </c>
      <c r="O215" t="s">
        <v>2814</v>
      </c>
      <c r="P215" t="s">
        <v>2815</v>
      </c>
      <c r="Q215" t="s">
        <v>2816</v>
      </c>
      <c r="R215" t="s">
        <v>74</v>
      </c>
      <c r="S215" t="s">
        <v>74</v>
      </c>
      <c r="T215" t="s">
        <v>74</v>
      </c>
      <c r="U215" t="s">
        <v>2943</v>
      </c>
      <c r="V215" t="s">
        <v>2944</v>
      </c>
      <c r="W215" t="s">
        <v>2945</v>
      </c>
      <c r="X215" t="s">
        <v>2946</v>
      </c>
      <c r="Y215" t="s">
        <v>2947</v>
      </c>
      <c r="Z215" t="s">
        <v>74</v>
      </c>
      <c r="AA215" t="s">
        <v>74</v>
      </c>
      <c r="AB215" t="s">
        <v>74</v>
      </c>
      <c r="AC215" t="s">
        <v>74</v>
      </c>
      <c r="AD215" t="s">
        <v>74</v>
      </c>
      <c r="AE215" t="s">
        <v>74</v>
      </c>
      <c r="AF215" t="s">
        <v>74</v>
      </c>
      <c r="AG215">
        <v>26</v>
      </c>
      <c r="AH215">
        <v>18</v>
      </c>
      <c r="AI215">
        <v>21</v>
      </c>
      <c r="AJ215">
        <v>0</v>
      </c>
      <c r="AK215">
        <v>2</v>
      </c>
      <c r="AL215" t="s">
        <v>2783</v>
      </c>
      <c r="AM215" t="s">
        <v>115</v>
      </c>
      <c r="AN215" t="s">
        <v>2856</v>
      </c>
      <c r="AO215" t="s">
        <v>2785</v>
      </c>
      <c r="AP215" t="s">
        <v>74</v>
      </c>
      <c r="AQ215" t="s">
        <v>2824</v>
      </c>
      <c r="AR215" t="s">
        <v>2787</v>
      </c>
      <c r="AS215" t="s">
        <v>74</v>
      </c>
      <c r="AT215" t="s">
        <v>74</v>
      </c>
      <c r="AU215">
        <v>1998</v>
      </c>
      <c r="AV215">
        <v>27</v>
      </c>
      <c r="AW215" t="s">
        <v>74</v>
      </c>
      <c r="AX215" t="s">
        <v>74</v>
      </c>
      <c r="AY215" t="s">
        <v>74</v>
      </c>
      <c r="AZ215" t="s">
        <v>74</v>
      </c>
      <c r="BA215" t="s">
        <v>74</v>
      </c>
      <c r="BB215">
        <v>93</v>
      </c>
      <c r="BC215">
        <v>98</v>
      </c>
      <c r="BD215" t="s">
        <v>74</v>
      </c>
      <c r="BE215" t="s">
        <v>74</v>
      </c>
      <c r="BF215" t="s">
        <v>74</v>
      </c>
      <c r="BG215" t="s">
        <v>74</v>
      </c>
      <c r="BH215" t="s">
        <v>74</v>
      </c>
      <c r="BI215">
        <v>6</v>
      </c>
      <c r="BJ215" t="s">
        <v>2826</v>
      </c>
      <c r="BK215" t="s">
        <v>397</v>
      </c>
      <c r="BL215" t="s">
        <v>2827</v>
      </c>
      <c r="BM215" t="s">
        <v>2828</v>
      </c>
      <c r="BN215" t="s">
        <v>74</v>
      </c>
      <c r="BO215" t="s">
        <v>74</v>
      </c>
      <c r="BP215" t="s">
        <v>74</v>
      </c>
      <c r="BQ215" t="s">
        <v>74</v>
      </c>
      <c r="BR215" t="s">
        <v>101</v>
      </c>
      <c r="BS215" t="s">
        <v>2948</v>
      </c>
      <c r="BT215" t="str">
        <f>HYPERLINK("https%3A%2F%2Fwww.webofscience.com%2Fwos%2Fwoscc%2Ffull-record%2FWOS:000079713100014","View Full Record in Web of Science")</f>
        <v>View Full Record in Web of Science</v>
      </c>
    </row>
    <row r="216" spans="1:72" x14ac:dyDescent="0.15">
      <c r="A216" t="s">
        <v>1540</v>
      </c>
      <c r="B216" t="s">
        <v>2949</v>
      </c>
      <c r="C216" t="s">
        <v>74</v>
      </c>
      <c r="D216" t="s">
        <v>2810</v>
      </c>
      <c r="E216" t="s">
        <v>74</v>
      </c>
      <c r="F216" t="s">
        <v>2949</v>
      </c>
      <c r="G216" t="s">
        <v>74</v>
      </c>
      <c r="H216" t="s">
        <v>74</v>
      </c>
      <c r="I216" t="s">
        <v>2950</v>
      </c>
      <c r="J216" t="s">
        <v>2812</v>
      </c>
      <c r="K216" t="s">
        <v>2813</v>
      </c>
      <c r="L216" t="s">
        <v>74</v>
      </c>
      <c r="M216" t="s">
        <v>77</v>
      </c>
      <c r="N216" t="s">
        <v>379</v>
      </c>
      <c r="O216" t="s">
        <v>2814</v>
      </c>
      <c r="P216" t="s">
        <v>2815</v>
      </c>
      <c r="Q216" t="s">
        <v>2816</v>
      </c>
      <c r="R216" t="s">
        <v>74</v>
      </c>
      <c r="S216" t="s">
        <v>74</v>
      </c>
      <c r="T216" t="s">
        <v>74</v>
      </c>
      <c r="U216" t="s">
        <v>2951</v>
      </c>
      <c r="V216" t="s">
        <v>2952</v>
      </c>
      <c r="W216" t="s">
        <v>1886</v>
      </c>
      <c r="X216" t="s">
        <v>1292</v>
      </c>
      <c r="Y216" t="s">
        <v>2953</v>
      </c>
      <c r="Z216" t="s">
        <v>74</v>
      </c>
      <c r="AA216" t="s">
        <v>74</v>
      </c>
      <c r="AB216" t="s">
        <v>2954</v>
      </c>
      <c r="AC216" t="s">
        <v>74</v>
      </c>
      <c r="AD216" t="s">
        <v>74</v>
      </c>
      <c r="AE216" t="s">
        <v>74</v>
      </c>
      <c r="AF216" t="s">
        <v>74</v>
      </c>
      <c r="AG216">
        <v>25</v>
      </c>
      <c r="AH216">
        <v>20</v>
      </c>
      <c r="AI216">
        <v>20</v>
      </c>
      <c r="AJ216">
        <v>0</v>
      </c>
      <c r="AK216">
        <v>3</v>
      </c>
      <c r="AL216" t="s">
        <v>2783</v>
      </c>
      <c r="AM216" t="s">
        <v>115</v>
      </c>
      <c r="AN216" t="s">
        <v>2784</v>
      </c>
      <c r="AO216" t="s">
        <v>2785</v>
      </c>
      <c r="AP216" t="s">
        <v>74</v>
      </c>
      <c r="AQ216" t="s">
        <v>2824</v>
      </c>
      <c r="AR216" t="s">
        <v>2825</v>
      </c>
      <c r="AS216" t="s">
        <v>74</v>
      </c>
      <c r="AT216" t="s">
        <v>74</v>
      </c>
      <c r="AU216">
        <v>1998</v>
      </c>
      <c r="AV216">
        <v>27</v>
      </c>
      <c r="AW216" t="s">
        <v>74</v>
      </c>
      <c r="AX216" t="s">
        <v>74</v>
      </c>
      <c r="AY216" t="s">
        <v>74</v>
      </c>
      <c r="AZ216" t="s">
        <v>74</v>
      </c>
      <c r="BA216" t="s">
        <v>74</v>
      </c>
      <c r="BB216">
        <v>99</v>
      </c>
      <c r="BC216">
        <v>104</v>
      </c>
      <c r="BD216" t="s">
        <v>74</v>
      </c>
      <c r="BE216" t="s">
        <v>74</v>
      </c>
      <c r="BF216" t="s">
        <v>74</v>
      </c>
      <c r="BG216" t="s">
        <v>74</v>
      </c>
      <c r="BH216" t="s">
        <v>74</v>
      </c>
      <c r="BI216">
        <v>6</v>
      </c>
      <c r="BJ216" t="s">
        <v>2826</v>
      </c>
      <c r="BK216" t="s">
        <v>397</v>
      </c>
      <c r="BL216" t="s">
        <v>2827</v>
      </c>
      <c r="BM216" t="s">
        <v>2828</v>
      </c>
      <c r="BN216" t="s">
        <v>74</v>
      </c>
      <c r="BO216" t="s">
        <v>74</v>
      </c>
      <c r="BP216" t="s">
        <v>74</v>
      </c>
      <c r="BQ216" t="s">
        <v>74</v>
      </c>
      <c r="BR216" t="s">
        <v>101</v>
      </c>
      <c r="BS216" t="s">
        <v>2955</v>
      </c>
      <c r="BT216" t="str">
        <f>HYPERLINK("https%3A%2F%2Fwww.webofscience.com%2Fwos%2Fwoscc%2Ffull-record%2FWOS:000079713100015","View Full Record in Web of Science")</f>
        <v>View Full Record in Web of Science</v>
      </c>
    </row>
    <row r="217" spans="1:72" x14ac:dyDescent="0.15">
      <c r="A217" t="s">
        <v>1540</v>
      </c>
      <c r="B217" t="s">
        <v>2956</v>
      </c>
      <c r="C217" t="s">
        <v>74</v>
      </c>
      <c r="D217" t="s">
        <v>2810</v>
      </c>
      <c r="E217" t="s">
        <v>74</v>
      </c>
      <c r="F217" t="s">
        <v>2956</v>
      </c>
      <c r="G217" t="s">
        <v>74</v>
      </c>
      <c r="H217" t="s">
        <v>74</v>
      </c>
      <c r="I217" t="s">
        <v>2957</v>
      </c>
      <c r="J217" t="s">
        <v>2812</v>
      </c>
      <c r="K217" t="s">
        <v>2774</v>
      </c>
      <c r="L217" t="s">
        <v>74</v>
      </c>
      <c r="M217" t="s">
        <v>77</v>
      </c>
      <c r="N217" t="s">
        <v>379</v>
      </c>
      <c r="O217" t="s">
        <v>2814</v>
      </c>
      <c r="P217" t="s">
        <v>2815</v>
      </c>
      <c r="Q217" t="s">
        <v>2816</v>
      </c>
      <c r="R217" t="s">
        <v>74</v>
      </c>
      <c r="S217" t="s">
        <v>74</v>
      </c>
      <c r="T217" t="s">
        <v>74</v>
      </c>
      <c r="U217" t="s">
        <v>2958</v>
      </c>
      <c r="V217" t="s">
        <v>2959</v>
      </c>
      <c r="W217" t="s">
        <v>2960</v>
      </c>
      <c r="X217" t="s">
        <v>2961</v>
      </c>
      <c r="Y217" t="s">
        <v>2962</v>
      </c>
      <c r="Z217" t="s">
        <v>74</v>
      </c>
      <c r="AA217" t="s">
        <v>2963</v>
      </c>
      <c r="AB217" t="s">
        <v>74</v>
      </c>
      <c r="AC217" t="s">
        <v>74</v>
      </c>
      <c r="AD217" t="s">
        <v>74</v>
      </c>
      <c r="AE217" t="s">
        <v>74</v>
      </c>
      <c r="AF217" t="s">
        <v>74</v>
      </c>
      <c r="AG217">
        <v>17</v>
      </c>
      <c r="AH217">
        <v>31</v>
      </c>
      <c r="AI217">
        <v>35</v>
      </c>
      <c r="AJ217">
        <v>0</v>
      </c>
      <c r="AK217">
        <v>7</v>
      </c>
      <c r="AL217" t="s">
        <v>2783</v>
      </c>
      <c r="AM217" t="s">
        <v>115</v>
      </c>
      <c r="AN217" t="s">
        <v>2856</v>
      </c>
      <c r="AO217" t="s">
        <v>2785</v>
      </c>
      <c r="AP217" t="s">
        <v>74</v>
      </c>
      <c r="AQ217" t="s">
        <v>2824</v>
      </c>
      <c r="AR217" t="s">
        <v>2787</v>
      </c>
      <c r="AS217" t="s">
        <v>74</v>
      </c>
      <c r="AT217" t="s">
        <v>74</v>
      </c>
      <c r="AU217">
        <v>1998</v>
      </c>
      <c r="AV217">
        <v>27</v>
      </c>
      <c r="AW217" t="s">
        <v>74</v>
      </c>
      <c r="AX217" t="s">
        <v>74</v>
      </c>
      <c r="AY217" t="s">
        <v>74</v>
      </c>
      <c r="AZ217" t="s">
        <v>74</v>
      </c>
      <c r="BA217" t="s">
        <v>74</v>
      </c>
      <c r="BB217">
        <v>105</v>
      </c>
      <c r="BC217">
        <v>109</v>
      </c>
      <c r="BD217" t="s">
        <v>74</v>
      </c>
      <c r="BE217" t="s">
        <v>74</v>
      </c>
      <c r="BF217" t="s">
        <v>74</v>
      </c>
      <c r="BG217" t="s">
        <v>74</v>
      </c>
      <c r="BH217" t="s">
        <v>74</v>
      </c>
      <c r="BI217">
        <v>5</v>
      </c>
      <c r="BJ217" t="s">
        <v>2826</v>
      </c>
      <c r="BK217" t="s">
        <v>397</v>
      </c>
      <c r="BL217" t="s">
        <v>2827</v>
      </c>
      <c r="BM217" t="s">
        <v>2828</v>
      </c>
      <c r="BN217" t="s">
        <v>74</v>
      </c>
      <c r="BO217" t="s">
        <v>74</v>
      </c>
      <c r="BP217" t="s">
        <v>74</v>
      </c>
      <c r="BQ217" t="s">
        <v>74</v>
      </c>
      <c r="BR217" t="s">
        <v>101</v>
      </c>
      <c r="BS217" t="s">
        <v>2964</v>
      </c>
      <c r="BT217" t="str">
        <f>HYPERLINK("https%3A%2F%2Fwww.webofscience.com%2Fwos%2Fwoscc%2Ffull-record%2FWOS:000079713100016","View Full Record in Web of Science")</f>
        <v>View Full Record in Web of Science</v>
      </c>
    </row>
    <row r="218" spans="1:72" x14ac:dyDescent="0.15">
      <c r="A218" t="s">
        <v>1540</v>
      </c>
      <c r="B218" t="s">
        <v>2965</v>
      </c>
      <c r="C218" t="s">
        <v>74</v>
      </c>
      <c r="D218" t="s">
        <v>2810</v>
      </c>
      <c r="E218" t="s">
        <v>74</v>
      </c>
      <c r="F218" t="s">
        <v>2965</v>
      </c>
      <c r="G218" t="s">
        <v>74</v>
      </c>
      <c r="H218" t="s">
        <v>74</v>
      </c>
      <c r="I218" t="s">
        <v>2966</v>
      </c>
      <c r="J218" t="s">
        <v>2812</v>
      </c>
      <c r="K218" t="s">
        <v>2774</v>
      </c>
      <c r="L218" t="s">
        <v>74</v>
      </c>
      <c r="M218" t="s">
        <v>77</v>
      </c>
      <c r="N218" t="s">
        <v>379</v>
      </c>
      <c r="O218" t="s">
        <v>2814</v>
      </c>
      <c r="P218" t="s">
        <v>2815</v>
      </c>
      <c r="Q218" t="s">
        <v>2816</v>
      </c>
      <c r="R218" t="s">
        <v>74</v>
      </c>
      <c r="S218" t="s">
        <v>74</v>
      </c>
      <c r="T218" t="s">
        <v>74</v>
      </c>
      <c r="U218" t="s">
        <v>2967</v>
      </c>
      <c r="V218" t="s">
        <v>2968</v>
      </c>
      <c r="W218" t="s">
        <v>2969</v>
      </c>
      <c r="X218" t="s">
        <v>2970</v>
      </c>
      <c r="Y218" t="s">
        <v>2971</v>
      </c>
      <c r="Z218" t="s">
        <v>74</v>
      </c>
      <c r="AA218" t="s">
        <v>2972</v>
      </c>
      <c r="AB218" t="s">
        <v>2973</v>
      </c>
      <c r="AC218" t="s">
        <v>74</v>
      </c>
      <c r="AD218" t="s">
        <v>74</v>
      </c>
      <c r="AE218" t="s">
        <v>74</v>
      </c>
      <c r="AF218" t="s">
        <v>74</v>
      </c>
      <c r="AG218">
        <v>24</v>
      </c>
      <c r="AH218">
        <v>31</v>
      </c>
      <c r="AI218">
        <v>32</v>
      </c>
      <c r="AJ218">
        <v>0</v>
      </c>
      <c r="AK218">
        <v>5</v>
      </c>
      <c r="AL218" t="s">
        <v>2783</v>
      </c>
      <c r="AM218" t="s">
        <v>115</v>
      </c>
      <c r="AN218" t="s">
        <v>2856</v>
      </c>
      <c r="AO218" t="s">
        <v>2785</v>
      </c>
      <c r="AP218" t="s">
        <v>74</v>
      </c>
      <c r="AQ218" t="s">
        <v>2824</v>
      </c>
      <c r="AR218" t="s">
        <v>2787</v>
      </c>
      <c r="AS218" t="s">
        <v>74</v>
      </c>
      <c r="AT218" t="s">
        <v>74</v>
      </c>
      <c r="AU218">
        <v>1998</v>
      </c>
      <c r="AV218">
        <v>27</v>
      </c>
      <c r="AW218" t="s">
        <v>74</v>
      </c>
      <c r="AX218" t="s">
        <v>74</v>
      </c>
      <c r="AY218" t="s">
        <v>74</v>
      </c>
      <c r="AZ218" t="s">
        <v>74</v>
      </c>
      <c r="BA218" t="s">
        <v>74</v>
      </c>
      <c r="BB218">
        <v>110</v>
      </c>
      <c r="BC218">
        <v>112</v>
      </c>
      <c r="BD218" t="s">
        <v>74</v>
      </c>
      <c r="BE218" t="s">
        <v>74</v>
      </c>
      <c r="BF218" t="s">
        <v>74</v>
      </c>
      <c r="BG218" t="s">
        <v>74</v>
      </c>
      <c r="BH218" t="s">
        <v>74</v>
      </c>
      <c r="BI218">
        <v>3</v>
      </c>
      <c r="BJ218" t="s">
        <v>2826</v>
      </c>
      <c r="BK218" t="s">
        <v>397</v>
      </c>
      <c r="BL218" t="s">
        <v>2827</v>
      </c>
      <c r="BM218" t="s">
        <v>2828</v>
      </c>
      <c r="BN218" t="s">
        <v>74</v>
      </c>
      <c r="BO218" t="s">
        <v>74</v>
      </c>
      <c r="BP218" t="s">
        <v>74</v>
      </c>
      <c r="BQ218" t="s">
        <v>74</v>
      </c>
      <c r="BR218" t="s">
        <v>101</v>
      </c>
      <c r="BS218" t="s">
        <v>2974</v>
      </c>
      <c r="BT218" t="str">
        <f>HYPERLINK("https%3A%2F%2Fwww.webofscience.com%2Fwos%2Fwoscc%2Ffull-record%2FWOS:000079713100017","View Full Record in Web of Science")</f>
        <v>View Full Record in Web of Science</v>
      </c>
    </row>
    <row r="219" spans="1:72" x14ac:dyDescent="0.15">
      <c r="A219" t="s">
        <v>1540</v>
      </c>
      <c r="B219" t="s">
        <v>2975</v>
      </c>
      <c r="C219" t="s">
        <v>74</v>
      </c>
      <c r="D219" t="s">
        <v>2810</v>
      </c>
      <c r="E219" t="s">
        <v>74</v>
      </c>
      <c r="F219" t="s">
        <v>2975</v>
      </c>
      <c r="G219" t="s">
        <v>74</v>
      </c>
      <c r="H219" t="s">
        <v>74</v>
      </c>
      <c r="I219" t="s">
        <v>2976</v>
      </c>
      <c r="J219" t="s">
        <v>2812</v>
      </c>
      <c r="K219" t="s">
        <v>2774</v>
      </c>
      <c r="L219" t="s">
        <v>74</v>
      </c>
      <c r="M219" t="s">
        <v>77</v>
      </c>
      <c r="N219" t="s">
        <v>379</v>
      </c>
      <c r="O219" t="s">
        <v>2814</v>
      </c>
      <c r="P219" t="s">
        <v>2815</v>
      </c>
      <c r="Q219" t="s">
        <v>2816</v>
      </c>
      <c r="R219" t="s">
        <v>74</v>
      </c>
      <c r="S219" t="s">
        <v>74</v>
      </c>
      <c r="T219" t="s">
        <v>74</v>
      </c>
      <c r="U219" t="s">
        <v>2977</v>
      </c>
      <c r="V219" t="s">
        <v>2978</v>
      </c>
      <c r="W219" t="s">
        <v>2979</v>
      </c>
      <c r="X219" t="s">
        <v>2980</v>
      </c>
      <c r="Y219" t="s">
        <v>2981</v>
      </c>
      <c r="Z219" t="s">
        <v>74</v>
      </c>
      <c r="AA219" t="s">
        <v>2982</v>
      </c>
      <c r="AB219" t="s">
        <v>2983</v>
      </c>
      <c r="AC219" t="s">
        <v>74</v>
      </c>
      <c r="AD219" t="s">
        <v>74</v>
      </c>
      <c r="AE219" t="s">
        <v>74</v>
      </c>
      <c r="AF219" t="s">
        <v>74</v>
      </c>
      <c r="AG219">
        <v>20</v>
      </c>
      <c r="AH219">
        <v>37</v>
      </c>
      <c r="AI219">
        <v>41</v>
      </c>
      <c r="AJ219">
        <v>0</v>
      </c>
      <c r="AK219">
        <v>5</v>
      </c>
      <c r="AL219" t="s">
        <v>2783</v>
      </c>
      <c r="AM219" t="s">
        <v>115</v>
      </c>
      <c r="AN219" t="s">
        <v>2856</v>
      </c>
      <c r="AO219" t="s">
        <v>2785</v>
      </c>
      <c r="AP219" t="s">
        <v>74</v>
      </c>
      <c r="AQ219" t="s">
        <v>2824</v>
      </c>
      <c r="AR219" t="s">
        <v>2787</v>
      </c>
      <c r="AS219" t="s">
        <v>74</v>
      </c>
      <c r="AT219" t="s">
        <v>74</v>
      </c>
      <c r="AU219">
        <v>1998</v>
      </c>
      <c r="AV219">
        <v>27</v>
      </c>
      <c r="AW219" t="s">
        <v>74</v>
      </c>
      <c r="AX219" t="s">
        <v>74</v>
      </c>
      <c r="AY219" t="s">
        <v>74</v>
      </c>
      <c r="AZ219" t="s">
        <v>74</v>
      </c>
      <c r="BA219" t="s">
        <v>74</v>
      </c>
      <c r="BB219">
        <v>113</v>
      </c>
      <c r="BC219">
        <v>118</v>
      </c>
      <c r="BD219" t="s">
        <v>74</v>
      </c>
      <c r="BE219" t="s">
        <v>74</v>
      </c>
      <c r="BF219" t="s">
        <v>74</v>
      </c>
      <c r="BG219" t="s">
        <v>74</v>
      </c>
      <c r="BH219" t="s">
        <v>74</v>
      </c>
      <c r="BI219">
        <v>6</v>
      </c>
      <c r="BJ219" t="s">
        <v>2826</v>
      </c>
      <c r="BK219" t="s">
        <v>397</v>
      </c>
      <c r="BL219" t="s">
        <v>2827</v>
      </c>
      <c r="BM219" t="s">
        <v>2828</v>
      </c>
      <c r="BN219" t="s">
        <v>74</v>
      </c>
      <c r="BO219" t="s">
        <v>74</v>
      </c>
      <c r="BP219" t="s">
        <v>74</v>
      </c>
      <c r="BQ219" t="s">
        <v>74</v>
      </c>
      <c r="BR219" t="s">
        <v>101</v>
      </c>
      <c r="BS219" t="s">
        <v>2984</v>
      </c>
      <c r="BT219" t="str">
        <f>HYPERLINK("https%3A%2F%2Fwww.webofscience.com%2Fwos%2Fwoscc%2Ffull-record%2FWOS:000079713100018","View Full Record in Web of Science")</f>
        <v>View Full Record in Web of Science</v>
      </c>
    </row>
    <row r="220" spans="1:72" x14ac:dyDescent="0.15">
      <c r="A220" t="s">
        <v>1540</v>
      </c>
      <c r="B220" t="s">
        <v>2985</v>
      </c>
      <c r="C220" t="s">
        <v>74</v>
      </c>
      <c r="D220" t="s">
        <v>2810</v>
      </c>
      <c r="E220" t="s">
        <v>74</v>
      </c>
      <c r="F220" t="s">
        <v>2985</v>
      </c>
      <c r="G220" t="s">
        <v>74</v>
      </c>
      <c r="H220" t="s">
        <v>74</v>
      </c>
      <c r="I220" t="s">
        <v>2986</v>
      </c>
      <c r="J220" t="s">
        <v>2812</v>
      </c>
      <c r="K220" t="s">
        <v>2774</v>
      </c>
      <c r="L220" t="s">
        <v>74</v>
      </c>
      <c r="M220" t="s">
        <v>77</v>
      </c>
      <c r="N220" t="s">
        <v>379</v>
      </c>
      <c r="O220" t="s">
        <v>2814</v>
      </c>
      <c r="P220" t="s">
        <v>2815</v>
      </c>
      <c r="Q220" t="s">
        <v>2816</v>
      </c>
      <c r="R220" t="s">
        <v>74</v>
      </c>
      <c r="S220" t="s">
        <v>74</v>
      </c>
      <c r="T220" t="s">
        <v>74</v>
      </c>
      <c r="U220" t="s">
        <v>2987</v>
      </c>
      <c r="V220" t="s">
        <v>2988</v>
      </c>
      <c r="W220" t="s">
        <v>2989</v>
      </c>
      <c r="X220" t="s">
        <v>74</v>
      </c>
      <c r="Y220" t="s">
        <v>2990</v>
      </c>
      <c r="Z220" t="s">
        <v>74</v>
      </c>
      <c r="AA220" t="s">
        <v>74</v>
      </c>
      <c r="AB220" t="s">
        <v>74</v>
      </c>
      <c r="AC220" t="s">
        <v>74</v>
      </c>
      <c r="AD220" t="s">
        <v>74</v>
      </c>
      <c r="AE220" t="s">
        <v>74</v>
      </c>
      <c r="AF220" t="s">
        <v>74</v>
      </c>
      <c r="AG220">
        <v>22</v>
      </c>
      <c r="AH220">
        <v>10</v>
      </c>
      <c r="AI220">
        <v>13</v>
      </c>
      <c r="AJ220">
        <v>0</v>
      </c>
      <c r="AK220">
        <v>3</v>
      </c>
      <c r="AL220" t="s">
        <v>2783</v>
      </c>
      <c r="AM220" t="s">
        <v>115</v>
      </c>
      <c r="AN220" t="s">
        <v>2856</v>
      </c>
      <c r="AO220" t="s">
        <v>2785</v>
      </c>
      <c r="AP220" t="s">
        <v>74</v>
      </c>
      <c r="AQ220" t="s">
        <v>2824</v>
      </c>
      <c r="AR220" t="s">
        <v>2787</v>
      </c>
      <c r="AS220" t="s">
        <v>74</v>
      </c>
      <c r="AT220" t="s">
        <v>74</v>
      </c>
      <c r="AU220">
        <v>1998</v>
      </c>
      <c r="AV220">
        <v>27</v>
      </c>
      <c r="AW220" t="s">
        <v>74</v>
      </c>
      <c r="AX220" t="s">
        <v>74</v>
      </c>
      <c r="AY220" t="s">
        <v>74</v>
      </c>
      <c r="AZ220" t="s">
        <v>74</v>
      </c>
      <c r="BA220" t="s">
        <v>74</v>
      </c>
      <c r="BB220">
        <v>119</v>
      </c>
      <c r="BC220">
        <v>124</v>
      </c>
      <c r="BD220" t="s">
        <v>74</v>
      </c>
      <c r="BE220" t="s">
        <v>74</v>
      </c>
      <c r="BF220" t="s">
        <v>74</v>
      </c>
      <c r="BG220" t="s">
        <v>74</v>
      </c>
      <c r="BH220" t="s">
        <v>74</v>
      </c>
      <c r="BI220">
        <v>6</v>
      </c>
      <c r="BJ220" t="s">
        <v>2826</v>
      </c>
      <c r="BK220" t="s">
        <v>397</v>
      </c>
      <c r="BL220" t="s">
        <v>2827</v>
      </c>
      <c r="BM220" t="s">
        <v>2828</v>
      </c>
      <c r="BN220" t="s">
        <v>74</v>
      </c>
      <c r="BO220" t="s">
        <v>74</v>
      </c>
      <c r="BP220" t="s">
        <v>74</v>
      </c>
      <c r="BQ220" t="s">
        <v>74</v>
      </c>
      <c r="BR220" t="s">
        <v>101</v>
      </c>
      <c r="BS220" t="s">
        <v>2991</v>
      </c>
      <c r="BT220" t="str">
        <f>HYPERLINK("https%3A%2F%2Fwww.webofscience.com%2Fwos%2Fwoscc%2Ffull-record%2FWOS:000079713100019","View Full Record in Web of Science")</f>
        <v>View Full Record in Web of Science</v>
      </c>
    </row>
    <row r="221" spans="1:72" x14ac:dyDescent="0.15">
      <c r="A221" t="s">
        <v>1540</v>
      </c>
      <c r="B221" t="s">
        <v>2992</v>
      </c>
      <c r="C221" t="s">
        <v>74</v>
      </c>
      <c r="D221" t="s">
        <v>2810</v>
      </c>
      <c r="E221" t="s">
        <v>74</v>
      </c>
      <c r="F221" t="s">
        <v>2992</v>
      </c>
      <c r="G221" t="s">
        <v>74</v>
      </c>
      <c r="H221" t="s">
        <v>74</v>
      </c>
      <c r="I221" t="s">
        <v>2993</v>
      </c>
      <c r="J221" t="s">
        <v>2812</v>
      </c>
      <c r="K221" t="s">
        <v>2774</v>
      </c>
      <c r="L221" t="s">
        <v>74</v>
      </c>
      <c r="M221" t="s">
        <v>77</v>
      </c>
      <c r="N221" t="s">
        <v>379</v>
      </c>
      <c r="O221" t="s">
        <v>2814</v>
      </c>
      <c r="P221" t="s">
        <v>2815</v>
      </c>
      <c r="Q221" t="s">
        <v>2816</v>
      </c>
      <c r="R221" t="s">
        <v>74</v>
      </c>
      <c r="S221" t="s">
        <v>74</v>
      </c>
      <c r="T221" t="s">
        <v>74</v>
      </c>
      <c r="U221" t="s">
        <v>2994</v>
      </c>
      <c r="V221" t="s">
        <v>2995</v>
      </c>
      <c r="W221" t="s">
        <v>2996</v>
      </c>
      <c r="X221" t="s">
        <v>2997</v>
      </c>
      <c r="Y221" t="s">
        <v>2998</v>
      </c>
      <c r="Z221" t="s">
        <v>74</v>
      </c>
      <c r="AA221" t="s">
        <v>74</v>
      </c>
      <c r="AB221" t="s">
        <v>74</v>
      </c>
      <c r="AC221" t="s">
        <v>74</v>
      </c>
      <c r="AD221" t="s">
        <v>74</v>
      </c>
      <c r="AE221" t="s">
        <v>74</v>
      </c>
      <c r="AF221" t="s">
        <v>74</v>
      </c>
      <c r="AG221">
        <v>22</v>
      </c>
      <c r="AH221">
        <v>46</v>
      </c>
      <c r="AI221">
        <v>48</v>
      </c>
      <c r="AJ221">
        <v>0</v>
      </c>
      <c r="AK221">
        <v>7</v>
      </c>
      <c r="AL221" t="s">
        <v>2783</v>
      </c>
      <c r="AM221" t="s">
        <v>115</v>
      </c>
      <c r="AN221" t="s">
        <v>2856</v>
      </c>
      <c r="AO221" t="s">
        <v>2785</v>
      </c>
      <c r="AP221" t="s">
        <v>74</v>
      </c>
      <c r="AQ221" t="s">
        <v>2824</v>
      </c>
      <c r="AR221" t="s">
        <v>2787</v>
      </c>
      <c r="AS221" t="s">
        <v>74</v>
      </c>
      <c r="AT221" t="s">
        <v>74</v>
      </c>
      <c r="AU221">
        <v>1998</v>
      </c>
      <c r="AV221">
        <v>27</v>
      </c>
      <c r="AW221" t="s">
        <v>74</v>
      </c>
      <c r="AX221" t="s">
        <v>74</v>
      </c>
      <c r="AY221" t="s">
        <v>74</v>
      </c>
      <c r="AZ221" t="s">
        <v>74</v>
      </c>
      <c r="BA221" t="s">
        <v>74</v>
      </c>
      <c r="BB221">
        <v>125</v>
      </c>
      <c r="BC221">
        <v>129</v>
      </c>
      <c r="BD221" t="s">
        <v>74</v>
      </c>
      <c r="BE221" t="s">
        <v>74</v>
      </c>
      <c r="BF221" t="s">
        <v>74</v>
      </c>
      <c r="BG221" t="s">
        <v>74</v>
      </c>
      <c r="BH221" t="s">
        <v>74</v>
      </c>
      <c r="BI221">
        <v>5</v>
      </c>
      <c r="BJ221" t="s">
        <v>2826</v>
      </c>
      <c r="BK221" t="s">
        <v>397</v>
      </c>
      <c r="BL221" t="s">
        <v>2827</v>
      </c>
      <c r="BM221" t="s">
        <v>2828</v>
      </c>
      <c r="BN221" t="s">
        <v>74</v>
      </c>
      <c r="BO221" t="s">
        <v>74</v>
      </c>
      <c r="BP221" t="s">
        <v>74</v>
      </c>
      <c r="BQ221" t="s">
        <v>74</v>
      </c>
      <c r="BR221" t="s">
        <v>101</v>
      </c>
      <c r="BS221" t="s">
        <v>2999</v>
      </c>
      <c r="BT221" t="str">
        <f>HYPERLINK("https%3A%2F%2Fwww.webofscience.com%2Fwos%2Fwoscc%2Ffull-record%2FWOS:000079713100020","View Full Record in Web of Science")</f>
        <v>View Full Record in Web of Science</v>
      </c>
    </row>
    <row r="222" spans="1:72" x14ac:dyDescent="0.15">
      <c r="A222" t="s">
        <v>1540</v>
      </c>
      <c r="B222" t="s">
        <v>3000</v>
      </c>
      <c r="C222" t="s">
        <v>74</v>
      </c>
      <c r="D222" t="s">
        <v>2810</v>
      </c>
      <c r="E222" t="s">
        <v>74</v>
      </c>
      <c r="F222" t="s">
        <v>3000</v>
      </c>
      <c r="G222" t="s">
        <v>74</v>
      </c>
      <c r="H222" t="s">
        <v>74</v>
      </c>
      <c r="I222" t="s">
        <v>3001</v>
      </c>
      <c r="J222" t="s">
        <v>2812</v>
      </c>
      <c r="K222" t="s">
        <v>2774</v>
      </c>
      <c r="L222" t="s">
        <v>74</v>
      </c>
      <c r="M222" t="s">
        <v>77</v>
      </c>
      <c r="N222" t="s">
        <v>379</v>
      </c>
      <c r="O222" t="s">
        <v>2814</v>
      </c>
      <c r="P222" t="s">
        <v>2815</v>
      </c>
      <c r="Q222" t="s">
        <v>2816</v>
      </c>
      <c r="R222" t="s">
        <v>74</v>
      </c>
      <c r="S222" t="s">
        <v>74</v>
      </c>
      <c r="T222" t="s">
        <v>74</v>
      </c>
      <c r="U222" t="s">
        <v>74</v>
      </c>
      <c r="V222" t="s">
        <v>3002</v>
      </c>
      <c r="W222" t="s">
        <v>3003</v>
      </c>
      <c r="X222" t="s">
        <v>3004</v>
      </c>
      <c r="Y222" t="s">
        <v>3005</v>
      </c>
      <c r="Z222" t="s">
        <v>74</v>
      </c>
      <c r="AA222" t="s">
        <v>3006</v>
      </c>
      <c r="AB222" t="s">
        <v>3007</v>
      </c>
      <c r="AC222" t="s">
        <v>74</v>
      </c>
      <c r="AD222" t="s">
        <v>74</v>
      </c>
      <c r="AE222" t="s">
        <v>74</v>
      </c>
      <c r="AF222" t="s">
        <v>74</v>
      </c>
      <c r="AG222">
        <v>15</v>
      </c>
      <c r="AH222">
        <v>12</v>
      </c>
      <c r="AI222">
        <v>12</v>
      </c>
      <c r="AJ222">
        <v>0</v>
      </c>
      <c r="AK222">
        <v>3</v>
      </c>
      <c r="AL222" t="s">
        <v>2783</v>
      </c>
      <c r="AM222" t="s">
        <v>115</v>
      </c>
      <c r="AN222" t="s">
        <v>2856</v>
      </c>
      <c r="AO222" t="s">
        <v>2785</v>
      </c>
      <c r="AP222" t="s">
        <v>74</v>
      </c>
      <c r="AQ222" t="s">
        <v>2824</v>
      </c>
      <c r="AR222" t="s">
        <v>2787</v>
      </c>
      <c r="AS222" t="s">
        <v>74</v>
      </c>
      <c r="AT222" t="s">
        <v>74</v>
      </c>
      <c r="AU222">
        <v>1998</v>
      </c>
      <c r="AV222">
        <v>27</v>
      </c>
      <c r="AW222" t="s">
        <v>74</v>
      </c>
      <c r="AX222" t="s">
        <v>74</v>
      </c>
      <c r="AY222" t="s">
        <v>74</v>
      </c>
      <c r="AZ222" t="s">
        <v>74</v>
      </c>
      <c r="BA222" t="s">
        <v>74</v>
      </c>
      <c r="BB222">
        <v>130</v>
      </c>
      <c r="BC222">
        <v>134</v>
      </c>
      <c r="BD222" t="s">
        <v>74</v>
      </c>
      <c r="BE222" t="s">
        <v>74</v>
      </c>
      <c r="BF222" t="s">
        <v>74</v>
      </c>
      <c r="BG222" t="s">
        <v>74</v>
      </c>
      <c r="BH222" t="s">
        <v>74</v>
      </c>
      <c r="BI222">
        <v>5</v>
      </c>
      <c r="BJ222" t="s">
        <v>2826</v>
      </c>
      <c r="BK222" t="s">
        <v>397</v>
      </c>
      <c r="BL222" t="s">
        <v>2827</v>
      </c>
      <c r="BM222" t="s">
        <v>2828</v>
      </c>
      <c r="BN222" t="s">
        <v>74</v>
      </c>
      <c r="BO222" t="s">
        <v>74</v>
      </c>
      <c r="BP222" t="s">
        <v>74</v>
      </c>
      <c r="BQ222" t="s">
        <v>74</v>
      </c>
      <c r="BR222" t="s">
        <v>101</v>
      </c>
      <c r="BS222" t="s">
        <v>3008</v>
      </c>
      <c r="BT222" t="str">
        <f>HYPERLINK("https%3A%2F%2Fwww.webofscience.com%2Fwos%2Fwoscc%2Ffull-record%2FWOS:000079713100021","View Full Record in Web of Science")</f>
        <v>View Full Record in Web of Science</v>
      </c>
    </row>
    <row r="223" spans="1:72" x14ac:dyDescent="0.15">
      <c r="A223" t="s">
        <v>1540</v>
      </c>
      <c r="B223" t="s">
        <v>3009</v>
      </c>
      <c r="C223" t="s">
        <v>74</v>
      </c>
      <c r="D223" t="s">
        <v>2810</v>
      </c>
      <c r="E223" t="s">
        <v>74</v>
      </c>
      <c r="F223" t="s">
        <v>3009</v>
      </c>
      <c r="G223" t="s">
        <v>74</v>
      </c>
      <c r="H223" t="s">
        <v>74</v>
      </c>
      <c r="I223" t="s">
        <v>3010</v>
      </c>
      <c r="J223" t="s">
        <v>2812</v>
      </c>
      <c r="K223" t="s">
        <v>2774</v>
      </c>
      <c r="L223" t="s">
        <v>74</v>
      </c>
      <c r="M223" t="s">
        <v>77</v>
      </c>
      <c r="N223" t="s">
        <v>379</v>
      </c>
      <c r="O223" t="s">
        <v>2814</v>
      </c>
      <c r="P223" t="s">
        <v>2815</v>
      </c>
      <c r="Q223" t="s">
        <v>2816</v>
      </c>
      <c r="R223" t="s">
        <v>74</v>
      </c>
      <c r="S223" t="s">
        <v>74</v>
      </c>
      <c r="T223" t="s">
        <v>74</v>
      </c>
      <c r="U223" t="s">
        <v>3011</v>
      </c>
      <c r="V223" t="s">
        <v>3012</v>
      </c>
      <c r="W223" t="s">
        <v>3013</v>
      </c>
      <c r="X223" t="s">
        <v>672</v>
      </c>
      <c r="Y223" t="s">
        <v>3014</v>
      </c>
      <c r="Z223" t="s">
        <v>74</v>
      </c>
      <c r="AA223" t="s">
        <v>3015</v>
      </c>
      <c r="AB223" t="s">
        <v>3016</v>
      </c>
      <c r="AC223" t="s">
        <v>74</v>
      </c>
      <c r="AD223" t="s">
        <v>74</v>
      </c>
      <c r="AE223" t="s">
        <v>74</v>
      </c>
      <c r="AF223" t="s">
        <v>74</v>
      </c>
      <c r="AG223">
        <v>15</v>
      </c>
      <c r="AH223">
        <v>14</v>
      </c>
      <c r="AI223">
        <v>15</v>
      </c>
      <c r="AJ223">
        <v>0</v>
      </c>
      <c r="AK223">
        <v>4</v>
      </c>
      <c r="AL223" t="s">
        <v>2783</v>
      </c>
      <c r="AM223" t="s">
        <v>115</v>
      </c>
      <c r="AN223" t="s">
        <v>2856</v>
      </c>
      <c r="AO223" t="s">
        <v>2785</v>
      </c>
      <c r="AP223" t="s">
        <v>74</v>
      </c>
      <c r="AQ223" t="s">
        <v>2824</v>
      </c>
      <c r="AR223" t="s">
        <v>2787</v>
      </c>
      <c r="AS223" t="s">
        <v>74</v>
      </c>
      <c r="AT223" t="s">
        <v>74</v>
      </c>
      <c r="AU223">
        <v>1998</v>
      </c>
      <c r="AV223">
        <v>27</v>
      </c>
      <c r="AW223" t="s">
        <v>74</v>
      </c>
      <c r="AX223" t="s">
        <v>74</v>
      </c>
      <c r="AY223" t="s">
        <v>74</v>
      </c>
      <c r="AZ223" t="s">
        <v>74</v>
      </c>
      <c r="BA223" t="s">
        <v>74</v>
      </c>
      <c r="BB223">
        <v>135</v>
      </c>
      <c r="BC223">
        <v>139</v>
      </c>
      <c r="BD223" t="s">
        <v>74</v>
      </c>
      <c r="BE223" t="s">
        <v>74</v>
      </c>
      <c r="BF223" t="s">
        <v>74</v>
      </c>
      <c r="BG223" t="s">
        <v>74</v>
      </c>
      <c r="BH223" t="s">
        <v>74</v>
      </c>
      <c r="BI223">
        <v>5</v>
      </c>
      <c r="BJ223" t="s">
        <v>2826</v>
      </c>
      <c r="BK223" t="s">
        <v>397</v>
      </c>
      <c r="BL223" t="s">
        <v>2827</v>
      </c>
      <c r="BM223" t="s">
        <v>2828</v>
      </c>
      <c r="BN223" t="s">
        <v>74</v>
      </c>
      <c r="BO223" t="s">
        <v>74</v>
      </c>
      <c r="BP223" t="s">
        <v>74</v>
      </c>
      <c r="BQ223" t="s">
        <v>74</v>
      </c>
      <c r="BR223" t="s">
        <v>101</v>
      </c>
      <c r="BS223" t="s">
        <v>3017</v>
      </c>
      <c r="BT223" t="str">
        <f>HYPERLINK("https%3A%2F%2Fwww.webofscience.com%2Fwos%2Fwoscc%2Ffull-record%2FWOS:000079713100022","View Full Record in Web of Science")</f>
        <v>View Full Record in Web of Science</v>
      </c>
    </row>
    <row r="224" spans="1:72" x14ac:dyDescent="0.15">
      <c r="A224" t="s">
        <v>1540</v>
      </c>
      <c r="B224" t="s">
        <v>3018</v>
      </c>
      <c r="C224" t="s">
        <v>74</v>
      </c>
      <c r="D224" t="s">
        <v>2810</v>
      </c>
      <c r="E224" t="s">
        <v>74</v>
      </c>
      <c r="F224" t="s">
        <v>3018</v>
      </c>
      <c r="G224" t="s">
        <v>74</v>
      </c>
      <c r="H224" t="s">
        <v>74</v>
      </c>
      <c r="I224" t="s">
        <v>3019</v>
      </c>
      <c r="J224" t="s">
        <v>2812</v>
      </c>
      <c r="K224" t="s">
        <v>2774</v>
      </c>
      <c r="L224" t="s">
        <v>74</v>
      </c>
      <c r="M224" t="s">
        <v>77</v>
      </c>
      <c r="N224" t="s">
        <v>379</v>
      </c>
      <c r="O224" t="s">
        <v>2814</v>
      </c>
      <c r="P224" t="s">
        <v>2815</v>
      </c>
      <c r="Q224" t="s">
        <v>2816</v>
      </c>
      <c r="R224" t="s">
        <v>74</v>
      </c>
      <c r="S224" t="s">
        <v>74</v>
      </c>
      <c r="T224" t="s">
        <v>74</v>
      </c>
      <c r="U224" t="s">
        <v>3020</v>
      </c>
      <c r="V224" t="s">
        <v>3021</v>
      </c>
      <c r="W224" t="s">
        <v>3022</v>
      </c>
      <c r="X224" t="s">
        <v>3023</v>
      </c>
      <c r="Y224" t="s">
        <v>3024</v>
      </c>
      <c r="Z224" t="s">
        <v>74</v>
      </c>
      <c r="AA224" t="s">
        <v>3025</v>
      </c>
      <c r="AB224" t="s">
        <v>3026</v>
      </c>
      <c r="AC224" t="s">
        <v>74</v>
      </c>
      <c r="AD224" t="s">
        <v>74</v>
      </c>
      <c r="AE224" t="s">
        <v>74</v>
      </c>
      <c r="AF224" t="s">
        <v>74</v>
      </c>
      <c r="AG224">
        <v>14</v>
      </c>
      <c r="AH224">
        <v>9</v>
      </c>
      <c r="AI224">
        <v>10</v>
      </c>
      <c r="AJ224">
        <v>0</v>
      </c>
      <c r="AK224">
        <v>1</v>
      </c>
      <c r="AL224" t="s">
        <v>2783</v>
      </c>
      <c r="AM224" t="s">
        <v>115</v>
      </c>
      <c r="AN224" t="s">
        <v>2856</v>
      </c>
      <c r="AO224" t="s">
        <v>2785</v>
      </c>
      <c r="AP224" t="s">
        <v>74</v>
      </c>
      <c r="AQ224" t="s">
        <v>2824</v>
      </c>
      <c r="AR224" t="s">
        <v>2787</v>
      </c>
      <c r="AS224" t="s">
        <v>74</v>
      </c>
      <c r="AT224" t="s">
        <v>74</v>
      </c>
      <c r="AU224">
        <v>1998</v>
      </c>
      <c r="AV224">
        <v>27</v>
      </c>
      <c r="AW224" t="s">
        <v>74</v>
      </c>
      <c r="AX224" t="s">
        <v>74</v>
      </c>
      <c r="AY224" t="s">
        <v>74</v>
      </c>
      <c r="AZ224" t="s">
        <v>74</v>
      </c>
      <c r="BA224" t="s">
        <v>74</v>
      </c>
      <c r="BB224">
        <v>140</v>
      </c>
      <c r="BC224">
        <v>144</v>
      </c>
      <c r="BD224" t="s">
        <v>74</v>
      </c>
      <c r="BE224" t="s">
        <v>74</v>
      </c>
      <c r="BF224" t="s">
        <v>74</v>
      </c>
      <c r="BG224" t="s">
        <v>74</v>
      </c>
      <c r="BH224" t="s">
        <v>74</v>
      </c>
      <c r="BI224">
        <v>5</v>
      </c>
      <c r="BJ224" t="s">
        <v>2826</v>
      </c>
      <c r="BK224" t="s">
        <v>397</v>
      </c>
      <c r="BL224" t="s">
        <v>2827</v>
      </c>
      <c r="BM224" t="s">
        <v>2828</v>
      </c>
      <c r="BN224" t="s">
        <v>74</v>
      </c>
      <c r="BO224" t="s">
        <v>74</v>
      </c>
      <c r="BP224" t="s">
        <v>74</v>
      </c>
      <c r="BQ224" t="s">
        <v>74</v>
      </c>
      <c r="BR224" t="s">
        <v>101</v>
      </c>
      <c r="BS224" t="s">
        <v>3027</v>
      </c>
      <c r="BT224" t="str">
        <f>HYPERLINK("https%3A%2F%2Fwww.webofscience.com%2Fwos%2Fwoscc%2Ffull-record%2FWOS:000079713100023","View Full Record in Web of Science")</f>
        <v>View Full Record in Web of Science</v>
      </c>
    </row>
    <row r="225" spans="1:72" x14ac:dyDescent="0.15">
      <c r="A225" t="s">
        <v>1540</v>
      </c>
      <c r="B225" t="s">
        <v>3028</v>
      </c>
      <c r="C225" t="s">
        <v>74</v>
      </c>
      <c r="D225" t="s">
        <v>2810</v>
      </c>
      <c r="E225" t="s">
        <v>74</v>
      </c>
      <c r="F225" t="s">
        <v>3028</v>
      </c>
      <c r="G225" t="s">
        <v>74</v>
      </c>
      <c r="H225" t="s">
        <v>74</v>
      </c>
      <c r="I225" t="s">
        <v>3029</v>
      </c>
      <c r="J225" t="s">
        <v>2812</v>
      </c>
      <c r="K225" t="s">
        <v>2774</v>
      </c>
      <c r="L225" t="s">
        <v>74</v>
      </c>
      <c r="M225" t="s">
        <v>77</v>
      </c>
      <c r="N225" t="s">
        <v>379</v>
      </c>
      <c r="O225" t="s">
        <v>2814</v>
      </c>
      <c r="P225" t="s">
        <v>2815</v>
      </c>
      <c r="Q225" t="s">
        <v>2816</v>
      </c>
      <c r="R225" t="s">
        <v>74</v>
      </c>
      <c r="S225" t="s">
        <v>74</v>
      </c>
      <c r="T225" t="s">
        <v>74</v>
      </c>
      <c r="U225" t="s">
        <v>3030</v>
      </c>
      <c r="V225" t="s">
        <v>3031</v>
      </c>
      <c r="W225" t="s">
        <v>3032</v>
      </c>
      <c r="X225" t="s">
        <v>3033</v>
      </c>
      <c r="Y225" t="s">
        <v>3034</v>
      </c>
      <c r="Z225" t="s">
        <v>74</v>
      </c>
      <c r="AA225" t="s">
        <v>3035</v>
      </c>
      <c r="AB225" t="s">
        <v>3036</v>
      </c>
      <c r="AC225" t="s">
        <v>74</v>
      </c>
      <c r="AD225" t="s">
        <v>74</v>
      </c>
      <c r="AE225" t="s">
        <v>74</v>
      </c>
      <c r="AF225" t="s">
        <v>74</v>
      </c>
      <c r="AG225">
        <v>22</v>
      </c>
      <c r="AH225">
        <v>60</v>
      </c>
      <c r="AI225">
        <v>63</v>
      </c>
      <c r="AJ225">
        <v>0</v>
      </c>
      <c r="AK225">
        <v>5</v>
      </c>
      <c r="AL225" t="s">
        <v>2783</v>
      </c>
      <c r="AM225" t="s">
        <v>115</v>
      </c>
      <c r="AN225" t="s">
        <v>2856</v>
      </c>
      <c r="AO225" t="s">
        <v>2785</v>
      </c>
      <c r="AP225" t="s">
        <v>74</v>
      </c>
      <c r="AQ225" t="s">
        <v>2824</v>
      </c>
      <c r="AR225" t="s">
        <v>2787</v>
      </c>
      <c r="AS225" t="s">
        <v>74</v>
      </c>
      <c r="AT225" t="s">
        <v>74</v>
      </c>
      <c r="AU225">
        <v>1998</v>
      </c>
      <c r="AV225">
        <v>27</v>
      </c>
      <c r="AW225" t="s">
        <v>74</v>
      </c>
      <c r="AX225" t="s">
        <v>74</v>
      </c>
      <c r="AY225" t="s">
        <v>74</v>
      </c>
      <c r="AZ225" t="s">
        <v>74</v>
      </c>
      <c r="BA225" t="s">
        <v>74</v>
      </c>
      <c r="BB225">
        <v>145</v>
      </c>
      <c r="BC225">
        <v>152</v>
      </c>
      <c r="BD225" t="s">
        <v>74</v>
      </c>
      <c r="BE225" t="s">
        <v>74</v>
      </c>
      <c r="BF225" t="s">
        <v>74</v>
      </c>
      <c r="BG225" t="s">
        <v>74</v>
      </c>
      <c r="BH225" t="s">
        <v>74</v>
      </c>
      <c r="BI225">
        <v>8</v>
      </c>
      <c r="BJ225" t="s">
        <v>2826</v>
      </c>
      <c r="BK225" t="s">
        <v>397</v>
      </c>
      <c r="BL225" t="s">
        <v>2827</v>
      </c>
      <c r="BM225" t="s">
        <v>2828</v>
      </c>
      <c r="BN225" t="s">
        <v>74</v>
      </c>
      <c r="BO225" t="s">
        <v>74</v>
      </c>
      <c r="BP225" t="s">
        <v>74</v>
      </c>
      <c r="BQ225" t="s">
        <v>74</v>
      </c>
      <c r="BR225" t="s">
        <v>101</v>
      </c>
      <c r="BS225" t="s">
        <v>3037</v>
      </c>
      <c r="BT225" t="str">
        <f>HYPERLINK("https%3A%2F%2Fwww.webofscience.com%2Fwos%2Fwoscc%2Ffull-record%2FWOS:000079713100024","View Full Record in Web of Science")</f>
        <v>View Full Record in Web of Science</v>
      </c>
    </row>
    <row r="226" spans="1:72" x14ac:dyDescent="0.15">
      <c r="A226" t="s">
        <v>1540</v>
      </c>
      <c r="B226" t="s">
        <v>3038</v>
      </c>
      <c r="C226" t="s">
        <v>74</v>
      </c>
      <c r="D226" t="s">
        <v>2810</v>
      </c>
      <c r="E226" t="s">
        <v>74</v>
      </c>
      <c r="F226" t="s">
        <v>3038</v>
      </c>
      <c r="G226" t="s">
        <v>74</v>
      </c>
      <c r="H226" t="s">
        <v>74</v>
      </c>
      <c r="I226" t="s">
        <v>3039</v>
      </c>
      <c r="J226" t="s">
        <v>2812</v>
      </c>
      <c r="K226" t="s">
        <v>2813</v>
      </c>
      <c r="L226" t="s">
        <v>74</v>
      </c>
      <c r="M226" t="s">
        <v>77</v>
      </c>
      <c r="N226" t="s">
        <v>379</v>
      </c>
      <c r="O226" t="s">
        <v>2814</v>
      </c>
      <c r="P226" t="s">
        <v>2815</v>
      </c>
      <c r="Q226" t="s">
        <v>2816</v>
      </c>
      <c r="R226" t="s">
        <v>74</v>
      </c>
      <c r="S226" t="s">
        <v>74</v>
      </c>
      <c r="T226" t="s">
        <v>74</v>
      </c>
      <c r="U226" t="s">
        <v>3040</v>
      </c>
      <c r="V226" t="s">
        <v>3041</v>
      </c>
      <c r="W226" t="s">
        <v>3042</v>
      </c>
      <c r="X226" t="s">
        <v>74</v>
      </c>
      <c r="Y226" t="s">
        <v>1715</v>
      </c>
      <c r="Z226" t="s">
        <v>74</v>
      </c>
      <c r="AA226" t="s">
        <v>3043</v>
      </c>
      <c r="AB226" t="s">
        <v>3044</v>
      </c>
      <c r="AC226" t="s">
        <v>74</v>
      </c>
      <c r="AD226" t="s">
        <v>74</v>
      </c>
      <c r="AE226" t="s">
        <v>74</v>
      </c>
      <c r="AF226" t="s">
        <v>74</v>
      </c>
      <c r="AG226">
        <v>38</v>
      </c>
      <c r="AH226">
        <v>26</v>
      </c>
      <c r="AI226">
        <v>29</v>
      </c>
      <c r="AJ226">
        <v>0</v>
      </c>
      <c r="AK226">
        <v>10</v>
      </c>
      <c r="AL226" t="s">
        <v>2783</v>
      </c>
      <c r="AM226" t="s">
        <v>115</v>
      </c>
      <c r="AN226" t="s">
        <v>2784</v>
      </c>
      <c r="AO226" t="s">
        <v>2785</v>
      </c>
      <c r="AP226" t="s">
        <v>74</v>
      </c>
      <c r="AQ226" t="s">
        <v>2824</v>
      </c>
      <c r="AR226" t="s">
        <v>2825</v>
      </c>
      <c r="AS226" t="s">
        <v>74</v>
      </c>
      <c r="AT226" t="s">
        <v>74</v>
      </c>
      <c r="AU226">
        <v>1998</v>
      </c>
      <c r="AV226">
        <v>27</v>
      </c>
      <c r="AW226" t="s">
        <v>74</v>
      </c>
      <c r="AX226" t="s">
        <v>74</v>
      </c>
      <c r="AY226" t="s">
        <v>74</v>
      </c>
      <c r="AZ226" t="s">
        <v>74</v>
      </c>
      <c r="BA226" t="s">
        <v>74</v>
      </c>
      <c r="BB226">
        <v>153</v>
      </c>
      <c r="BC226">
        <v>160</v>
      </c>
      <c r="BD226" t="s">
        <v>74</v>
      </c>
      <c r="BE226" t="s">
        <v>74</v>
      </c>
      <c r="BF226" t="s">
        <v>74</v>
      </c>
      <c r="BG226" t="s">
        <v>74</v>
      </c>
      <c r="BH226" t="s">
        <v>74</v>
      </c>
      <c r="BI226">
        <v>8</v>
      </c>
      <c r="BJ226" t="s">
        <v>2826</v>
      </c>
      <c r="BK226" t="s">
        <v>397</v>
      </c>
      <c r="BL226" t="s">
        <v>2827</v>
      </c>
      <c r="BM226" t="s">
        <v>2828</v>
      </c>
      <c r="BN226" t="s">
        <v>74</v>
      </c>
      <c r="BO226" t="s">
        <v>74</v>
      </c>
      <c r="BP226" t="s">
        <v>74</v>
      </c>
      <c r="BQ226" t="s">
        <v>74</v>
      </c>
      <c r="BR226" t="s">
        <v>101</v>
      </c>
      <c r="BS226" t="s">
        <v>3045</v>
      </c>
      <c r="BT226" t="str">
        <f>HYPERLINK("https%3A%2F%2Fwww.webofscience.com%2Fwos%2Fwoscc%2Ffull-record%2FWOS:000079713100025","View Full Record in Web of Science")</f>
        <v>View Full Record in Web of Science</v>
      </c>
    </row>
    <row r="227" spans="1:72" x14ac:dyDescent="0.15">
      <c r="A227" t="s">
        <v>1540</v>
      </c>
      <c r="B227" t="s">
        <v>3046</v>
      </c>
      <c r="C227" t="s">
        <v>74</v>
      </c>
      <c r="D227" t="s">
        <v>2810</v>
      </c>
      <c r="E227" t="s">
        <v>74</v>
      </c>
      <c r="F227" t="s">
        <v>3046</v>
      </c>
      <c r="G227" t="s">
        <v>74</v>
      </c>
      <c r="H227" t="s">
        <v>74</v>
      </c>
      <c r="I227" t="s">
        <v>3047</v>
      </c>
      <c r="J227" t="s">
        <v>2812</v>
      </c>
      <c r="K227" t="s">
        <v>2774</v>
      </c>
      <c r="L227" t="s">
        <v>74</v>
      </c>
      <c r="M227" t="s">
        <v>77</v>
      </c>
      <c r="N227" t="s">
        <v>379</v>
      </c>
      <c r="O227" t="s">
        <v>2814</v>
      </c>
      <c r="P227" t="s">
        <v>2815</v>
      </c>
      <c r="Q227" t="s">
        <v>2816</v>
      </c>
      <c r="R227" t="s">
        <v>74</v>
      </c>
      <c r="S227" t="s">
        <v>74</v>
      </c>
      <c r="T227" t="s">
        <v>74</v>
      </c>
      <c r="U227" t="s">
        <v>3048</v>
      </c>
      <c r="V227" t="s">
        <v>3049</v>
      </c>
      <c r="W227" t="s">
        <v>3042</v>
      </c>
      <c r="X227" t="s">
        <v>74</v>
      </c>
      <c r="Y227" t="s">
        <v>3050</v>
      </c>
      <c r="Z227" t="s">
        <v>74</v>
      </c>
      <c r="AA227" t="s">
        <v>3043</v>
      </c>
      <c r="AB227" t="s">
        <v>3044</v>
      </c>
      <c r="AC227" t="s">
        <v>74</v>
      </c>
      <c r="AD227" t="s">
        <v>74</v>
      </c>
      <c r="AE227" t="s">
        <v>74</v>
      </c>
      <c r="AF227" t="s">
        <v>74</v>
      </c>
      <c r="AG227">
        <v>32</v>
      </c>
      <c r="AH227">
        <v>35</v>
      </c>
      <c r="AI227">
        <v>36</v>
      </c>
      <c r="AJ227">
        <v>0</v>
      </c>
      <c r="AK227">
        <v>63</v>
      </c>
      <c r="AL227" t="s">
        <v>2783</v>
      </c>
      <c r="AM227" t="s">
        <v>115</v>
      </c>
      <c r="AN227" t="s">
        <v>2856</v>
      </c>
      <c r="AO227" t="s">
        <v>2785</v>
      </c>
      <c r="AP227" t="s">
        <v>74</v>
      </c>
      <c r="AQ227" t="s">
        <v>2824</v>
      </c>
      <c r="AR227" t="s">
        <v>2787</v>
      </c>
      <c r="AS227" t="s">
        <v>74</v>
      </c>
      <c r="AT227" t="s">
        <v>74</v>
      </c>
      <c r="AU227">
        <v>1998</v>
      </c>
      <c r="AV227">
        <v>27</v>
      </c>
      <c r="AW227" t="s">
        <v>74</v>
      </c>
      <c r="AX227" t="s">
        <v>74</v>
      </c>
      <c r="AY227" t="s">
        <v>74</v>
      </c>
      <c r="AZ227" t="s">
        <v>74</v>
      </c>
      <c r="BA227" t="s">
        <v>74</v>
      </c>
      <c r="BB227">
        <v>161</v>
      </c>
      <c r="BC227">
        <v>168</v>
      </c>
      <c r="BD227" t="s">
        <v>74</v>
      </c>
      <c r="BE227" t="s">
        <v>74</v>
      </c>
      <c r="BF227" t="s">
        <v>74</v>
      </c>
      <c r="BG227" t="s">
        <v>74</v>
      </c>
      <c r="BH227" t="s">
        <v>74</v>
      </c>
      <c r="BI227">
        <v>8</v>
      </c>
      <c r="BJ227" t="s">
        <v>2826</v>
      </c>
      <c r="BK227" t="s">
        <v>397</v>
      </c>
      <c r="BL227" t="s">
        <v>2827</v>
      </c>
      <c r="BM227" t="s">
        <v>2828</v>
      </c>
      <c r="BN227" t="s">
        <v>74</v>
      </c>
      <c r="BO227" t="s">
        <v>74</v>
      </c>
      <c r="BP227" t="s">
        <v>74</v>
      </c>
      <c r="BQ227" t="s">
        <v>74</v>
      </c>
      <c r="BR227" t="s">
        <v>101</v>
      </c>
      <c r="BS227" t="s">
        <v>3051</v>
      </c>
      <c r="BT227" t="str">
        <f>HYPERLINK("https%3A%2F%2Fwww.webofscience.com%2Fwos%2Fwoscc%2Ffull-record%2FWOS:000079713100026","View Full Record in Web of Science")</f>
        <v>View Full Record in Web of Science</v>
      </c>
    </row>
    <row r="228" spans="1:72" x14ac:dyDescent="0.15">
      <c r="A228" t="s">
        <v>1540</v>
      </c>
      <c r="B228" t="s">
        <v>3052</v>
      </c>
      <c r="C228" t="s">
        <v>74</v>
      </c>
      <c r="D228" t="s">
        <v>2810</v>
      </c>
      <c r="E228" t="s">
        <v>74</v>
      </c>
      <c r="F228" t="s">
        <v>3052</v>
      </c>
      <c r="G228" t="s">
        <v>74</v>
      </c>
      <c r="H228" t="s">
        <v>74</v>
      </c>
      <c r="I228" t="s">
        <v>3053</v>
      </c>
      <c r="J228" t="s">
        <v>2812</v>
      </c>
      <c r="K228" t="s">
        <v>2774</v>
      </c>
      <c r="L228" t="s">
        <v>74</v>
      </c>
      <c r="M228" t="s">
        <v>77</v>
      </c>
      <c r="N228" t="s">
        <v>379</v>
      </c>
      <c r="O228" t="s">
        <v>2814</v>
      </c>
      <c r="P228" t="s">
        <v>2815</v>
      </c>
      <c r="Q228" t="s">
        <v>2816</v>
      </c>
      <c r="R228" t="s">
        <v>74</v>
      </c>
      <c r="S228" t="s">
        <v>74</v>
      </c>
      <c r="T228" t="s">
        <v>74</v>
      </c>
      <c r="U228" t="s">
        <v>3054</v>
      </c>
      <c r="V228" t="s">
        <v>3055</v>
      </c>
      <c r="W228" t="s">
        <v>3056</v>
      </c>
      <c r="X228" t="s">
        <v>3057</v>
      </c>
      <c r="Y228" t="s">
        <v>3058</v>
      </c>
      <c r="Z228" t="s">
        <v>74</v>
      </c>
      <c r="AA228" t="s">
        <v>74</v>
      </c>
      <c r="AB228" t="s">
        <v>74</v>
      </c>
      <c r="AC228" t="s">
        <v>74</v>
      </c>
      <c r="AD228" t="s">
        <v>74</v>
      </c>
      <c r="AE228" t="s">
        <v>74</v>
      </c>
      <c r="AF228" t="s">
        <v>74</v>
      </c>
      <c r="AG228">
        <v>15</v>
      </c>
      <c r="AH228">
        <v>15</v>
      </c>
      <c r="AI228">
        <v>15</v>
      </c>
      <c r="AJ228">
        <v>0</v>
      </c>
      <c r="AK228">
        <v>3</v>
      </c>
      <c r="AL228" t="s">
        <v>2783</v>
      </c>
      <c r="AM228" t="s">
        <v>115</v>
      </c>
      <c r="AN228" t="s">
        <v>2856</v>
      </c>
      <c r="AO228" t="s">
        <v>2785</v>
      </c>
      <c r="AP228" t="s">
        <v>74</v>
      </c>
      <c r="AQ228" t="s">
        <v>2824</v>
      </c>
      <c r="AR228" t="s">
        <v>2787</v>
      </c>
      <c r="AS228" t="s">
        <v>74</v>
      </c>
      <c r="AT228" t="s">
        <v>74</v>
      </c>
      <c r="AU228">
        <v>1998</v>
      </c>
      <c r="AV228">
        <v>27</v>
      </c>
      <c r="AW228" t="s">
        <v>74</v>
      </c>
      <c r="AX228" t="s">
        <v>74</v>
      </c>
      <c r="AY228" t="s">
        <v>74</v>
      </c>
      <c r="AZ228" t="s">
        <v>74</v>
      </c>
      <c r="BA228" t="s">
        <v>74</v>
      </c>
      <c r="BB228">
        <v>169</v>
      </c>
      <c r="BC228">
        <v>176</v>
      </c>
      <c r="BD228" t="s">
        <v>74</v>
      </c>
      <c r="BE228" t="s">
        <v>74</v>
      </c>
      <c r="BF228" t="s">
        <v>74</v>
      </c>
      <c r="BG228" t="s">
        <v>74</v>
      </c>
      <c r="BH228" t="s">
        <v>74</v>
      </c>
      <c r="BI228">
        <v>8</v>
      </c>
      <c r="BJ228" t="s">
        <v>2826</v>
      </c>
      <c r="BK228" t="s">
        <v>397</v>
      </c>
      <c r="BL228" t="s">
        <v>2827</v>
      </c>
      <c r="BM228" t="s">
        <v>2828</v>
      </c>
      <c r="BN228" t="s">
        <v>74</v>
      </c>
      <c r="BO228" t="s">
        <v>74</v>
      </c>
      <c r="BP228" t="s">
        <v>74</v>
      </c>
      <c r="BQ228" t="s">
        <v>74</v>
      </c>
      <c r="BR228" t="s">
        <v>101</v>
      </c>
      <c r="BS228" t="s">
        <v>3059</v>
      </c>
      <c r="BT228" t="str">
        <f>HYPERLINK("https%3A%2F%2Fwww.webofscience.com%2Fwos%2Fwoscc%2Ffull-record%2FWOS:000079713100027","View Full Record in Web of Science")</f>
        <v>View Full Record in Web of Science</v>
      </c>
    </row>
    <row r="229" spans="1:72" x14ac:dyDescent="0.15">
      <c r="A229" t="s">
        <v>1540</v>
      </c>
      <c r="B229" t="s">
        <v>3060</v>
      </c>
      <c r="C229" t="s">
        <v>74</v>
      </c>
      <c r="D229" t="s">
        <v>2810</v>
      </c>
      <c r="E229" t="s">
        <v>74</v>
      </c>
      <c r="F229" t="s">
        <v>3060</v>
      </c>
      <c r="G229" t="s">
        <v>74</v>
      </c>
      <c r="H229" t="s">
        <v>74</v>
      </c>
      <c r="I229" t="s">
        <v>3061</v>
      </c>
      <c r="J229" t="s">
        <v>2812</v>
      </c>
      <c r="K229" t="s">
        <v>2813</v>
      </c>
      <c r="L229" t="s">
        <v>74</v>
      </c>
      <c r="M229" t="s">
        <v>77</v>
      </c>
      <c r="N229" t="s">
        <v>379</v>
      </c>
      <c r="O229" t="s">
        <v>2814</v>
      </c>
      <c r="P229" t="s">
        <v>2815</v>
      </c>
      <c r="Q229" t="s">
        <v>2816</v>
      </c>
      <c r="R229" t="s">
        <v>74</v>
      </c>
      <c r="S229" t="s">
        <v>74</v>
      </c>
      <c r="T229" t="s">
        <v>74</v>
      </c>
      <c r="U229" t="s">
        <v>74</v>
      </c>
      <c r="V229" t="s">
        <v>3062</v>
      </c>
      <c r="W229" t="s">
        <v>3063</v>
      </c>
      <c r="X229" t="s">
        <v>1714</v>
      </c>
      <c r="Y229" t="s">
        <v>2843</v>
      </c>
      <c r="Z229" t="s">
        <v>74</v>
      </c>
      <c r="AA229" t="s">
        <v>74</v>
      </c>
      <c r="AB229" t="s">
        <v>74</v>
      </c>
      <c r="AC229" t="s">
        <v>74</v>
      </c>
      <c r="AD229" t="s">
        <v>74</v>
      </c>
      <c r="AE229" t="s">
        <v>74</v>
      </c>
      <c r="AF229" t="s">
        <v>74</v>
      </c>
      <c r="AG229">
        <v>11</v>
      </c>
      <c r="AH229">
        <v>38</v>
      </c>
      <c r="AI229">
        <v>46</v>
      </c>
      <c r="AJ229">
        <v>0</v>
      </c>
      <c r="AK229">
        <v>6</v>
      </c>
      <c r="AL229" t="s">
        <v>2783</v>
      </c>
      <c r="AM229" t="s">
        <v>115</v>
      </c>
      <c r="AN229" t="s">
        <v>2784</v>
      </c>
      <c r="AO229" t="s">
        <v>2785</v>
      </c>
      <c r="AP229" t="s">
        <v>74</v>
      </c>
      <c r="AQ229" t="s">
        <v>2824</v>
      </c>
      <c r="AR229" t="s">
        <v>2825</v>
      </c>
      <c r="AS229" t="s">
        <v>74</v>
      </c>
      <c r="AT229" t="s">
        <v>74</v>
      </c>
      <c r="AU229">
        <v>1998</v>
      </c>
      <c r="AV229">
        <v>27</v>
      </c>
      <c r="AW229" t="s">
        <v>74</v>
      </c>
      <c r="AX229" t="s">
        <v>74</v>
      </c>
      <c r="AY229" t="s">
        <v>74</v>
      </c>
      <c r="AZ229" t="s">
        <v>74</v>
      </c>
      <c r="BA229" t="s">
        <v>74</v>
      </c>
      <c r="BB229">
        <v>177</v>
      </c>
      <c r="BC229">
        <v>181</v>
      </c>
      <c r="BD229" t="s">
        <v>74</v>
      </c>
      <c r="BE229" t="s">
        <v>74</v>
      </c>
      <c r="BF229" t="s">
        <v>74</v>
      </c>
      <c r="BG229" t="s">
        <v>74</v>
      </c>
      <c r="BH229" t="s">
        <v>74</v>
      </c>
      <c r="BI229">
        <v>5</v>
      </c>
      <c r="BJ229" t="s">
        <v>2826</v>
      </c>
      <c r="BK229" t="s">
        <v>397</v>
      </c>
      <c r="BL229" t="s">
        <v>2827</v>
      </c>
      <c r="BM229" t="s">
        <v>2828</v>
      </c>
      <c r="BN229" t="s">
        <v>74</v>
      </c>
      <c r="BO229" t="s">
        <v>74</v>
      </c>
      <c r="BP229" t="s">
        <v>74</v>
      </c>
      <c r="BQ229" t="s">
        <v>74</v>
      </c>
      <c r="BR229" t="s">
        <v>101</v>
      </c>
      <c r="BS229" t="s">
        <v>3064</v>
      </c>
      <c r="BT229" t="str">
        <f>HYPERLINK("https%3A%2F%2Fwww.webofscience.com%2Fwos%2Fwoscc%2Ffull-record%2FWOS:000079713100028","View Full Record in Web of Science")</f>
        <v>View Full Record in Web of Science</v>
      </c>
    </row>
    <row r="230" spans="1:72" x14ac:dyDescent="0.15">
      <c r="A230" t="s">
        <v>1540</v>
      </c>
      <c r="B230" t="s">
        <v>3065</v>
      </c>
      <c r="C230" t="s">
        <v>74</v>
      </c>
      <c r="D230" t="s">
        <v>2810</v>
      </c>
      <c r="E230" t="s">
        <v>74</v>
      </c>
      <c r="F230" t="s">
        <v>3065</v>
      </c>
      <c r="G230" t="s">
        <v>74</v>
      </c>
      <c r="H230" t="s">
        <v>74</v>
      </c>
      <c r="I230" t="s">
        <v>3066</v>
      </c>
      <c r="J230" t="s">
        <v>2812</v>
      </c>
      <c r="K230" t="s">
        <v>2774</v>
      </c>
      <c r="L230" t="s">
        <v>74</v>
      </c>
      <c r="M230" t="s">
        <v>77</v>
      </c>
      <c r="N230" t="s">
        <v>379</v>
      </c>
      <c r="O230" t="s">
        <v>2814</v>
      </c>
      <c r="P230" t="s">
        <v>2815</v>
      </c>
      <c r="Q230" t="s">
        <v>2816</v>
      </c>
      <c r="R230" t="s">
        <v>74</v>
      </c>
      <c r="S230" t="s">
        <v>74</v>
      </c>
      <c r="T230" t="s">
        <v>74</v>
      </c>
      <c r="U230" t="s">
        <v>74</v>
      </c>
      <c r="V230" t="s">
        <v>3067</v>
      </c>
      <c r="W230" t="s">
        <v>3068</v>
      </c>
      <c r="X230" t="s">
        <v>3069</v>
      </c>
      <c r="Y230" t="s">
        <v>3070</v>
      </c>
      <c r="Z230" t="s">
        <v>74</v>
      </c>
      <c r="AA230" t="s">
        <v>2854</v>
      </c>
      <c r="AB230" t="s">
        <v>3071</v>
      </c>
      <c r="AC230" t="s">
        <v>74</v>
      </c>
      <c r="AD230" t="s">
        <v>74</v>
      </c>
      <c r="AE230" t="s">
        <v>74</v>
      </c>
      <c r="AF230" t="s">
        <v>74</v>
      </c>
      <c r="AG230">
        <v>10</v>
      </c>
      <c r="AH230">
        <v>8</v>
      </c>
      <c r="AI230">
        <v>9</v>
      </c>
      <c r="AJ230">
        <v>0</v>
      </c>
      <c r="AK230">
        <v>2</v>
      </c>
      <c r="AL230" t="s">
        <v>2783</v>
      </c>
      <c r="AM230" t="s">
        <v>115</v>
      </c>
      <c r="AN230" t="s">
        <v>2856</v>
      </c>
      <c r="AO230" t="s">
        <v>2785</v>
      </c>
      <c r="AP230" t="s">
        <v>74</v>
      </c>
      <c r="AQ230" t="s">
        <v>2824</v>
      </c>
      <c r="AR230" t="s">
        <v>2787</v>
      </c>
      <c r="AS230" t="s">
        <v>74</v>
      </c>
      <c r="AT230" t="s">
        <v>74</v>
      </c>
      <c r="AU230">
        <v>1998</v>
      </c>
      <c r="AV230">
        <v>27</v>
      </c>
      <c r="AW230" t="s">
        <v>74</v>
      </c>
      <c r="AX230" t="s">
        <v>74</v>
      </c>
      <c r="AY230" t="s">
        <v>74</v>
      </c>
      <c r="AZ230" t="s">
        <v>74</v>
      </c>
      <c r="BA230" t="s">
        <v>74</v>
      </c>
      <c r="BB230">
        <v>182</v>
      </c>
      <c r="BC230">
        <v>186</v>
      </c>
      <c r="BD230" t="s">
        <v>74</v>
      </c>
      <c r="BE230" t="s">
        <v>74</v>
      </c>
      <c r="BF230" t="s">
        <v>74</v>
      </c>
      <c r="BG230" t="s">
        <v>74</v>
      </c>
      <c r="BH230" t="s">
        <v>74</v>
      </c>
      <c r="BI230">
        <v>5</v>
      </c>
      <c r="BJ230" t="s">
        <v>2826</v>
      </c>
      <c r="BK230" t="s">
        <v>397</v>
      </c>
      <c r="BL230" t="s">
        <v>2827</v>
      </c>
      <c r="BM230" t="s">
        <v>2828</v>
      </c>
      <c r="BN230" t="s">
        <v>74</v>
      </c>
      <c r="BO230" t="s">
        <v>74</v>
      </c>
      <c r="BP230" t="s">
        <v>74</v>
      </c>
      <c r="BQ230" t="s">
        <v>74</v>
      </c>
      <c r="BR230" t="s">
        <v>101</v>
      </c>
      <c r="BS230" t="s">
        <v>3072</v>
      </c>
      <c r="BT230" t="str">
        <f>HYPERLINK("https%3A%2F%2Fwww.webofscience.com%2Fwos%2Fwoscc%2Ffull-record%2FWOS:000079713100029","View Full Record in Web of Science")</f>
        <v>View Full Record in Web of Science</v>
      </c>
    </row>
    <row r="231" spans="1:72" x14ac:dyDescent="0.15">
      <c r="A231" t="s">
        <v>1540</v>
      </c>
      <c r="B231" t="s">
        <v>3073</v>
      </c>
      <c r="C231" t="s">
        <v>74</v>
      </c>
      <c r="D231" t="s">
        <v>2810</v>
      </c>
      <c r="E231" t="s">
        <v>74</v>
      </c>
      <c r="F231" t="s">
        <v>3073</v>
      </c>
      <c r="G231" t="s">
        <v>74</v>
      </c>
      <c r="H231" t="s">
        <v>74</v>
      </c>
      <c r="I231" t="s">
        <v>3074</v>
      </c>
      <c r="J231" t="s">
        <v>2812</v>
      </c>
      <c r="K231" t="s">
        <v>2813</v>
      </c>
      <c r="L231" t="s">
        <v>74</v>
      </c>
      <c r="M231" t="s">
        <v>77</v>
      </c>
      <c r="N231" t="s">
        <v>379</v>
      </c>
      <c r="O231" t="s">
        <v>2814</v>
      </c>
      <c r="P231" t="s">
        <v>2815</v>
      </c>
      <c r="Q231" t="s">
        <v>2816</v>
      </c>
      <c r="R231" t="s">
        <v>74</v>
      </c>
      <c r="S231" t="s">
        <v>74</v>
      </c>
      <c r="T231" t="s">
        <v>74</v>
      </c>
      <c r="U231" t="s">
        <v>3075</v>
      </c>
      <c r="V231" t="s">
        <v>3076</v>
      </c>
      <c r="W231" t="s">
        <v>2834</v>
      </c>
      <c r="X231" t="s">
        <v>2835</v>
      </c>
      <c r="Y231" t="s">
        <v>2836</v>
      </c>
      <c r="Z231" t="s">
        <v>74</v>
      </c>
      <c r="AA231" t="s">
        <v>74</v>
      </c>
      <c r="AB231" t="s">
        <v>74</v>
      </c>
      <c r="AC231" t="s">
        <v>74</v>
      </c>
      <c r="AD231" t="s">
        <v>74</v>
      </c>
      <c r="AE231" t="s">
        <v>74</v>
      </c>
      <c r="AF231" t="s">
        <v>74</v>
      </c>
      <c r="AG231">
        <v>25</v>
      </c>
      <c r="AH231">
        <v>4</v>
      </c>
      <c r="AI231">
        <v>4</v>
      </c>
      <c r="AJ231">
        <v>0</v>
      </c>
      <c r="AK231">
        <v>0</v>
      </c>
      <c r="AL231" t="s">
        <v>2783</v>
      </c>
      <c r="AM231" t="s">
        <v>115</v>
      </c>
      <c r="AN231" t="s">
        <v>2784</v>
      </c>
      <c r="AO231" t="s">
        <v>2785</v>
      </c>
      <c r="AP231" t="s">
        <v>74</v>
      </c>
      <c r="AQ231" t="s">
        <v>2824</v>
      </c>
      <c r="AR231" t="s">
        <v>2825</v>
      </c>
      <c r="AS231" t="s">
        <v>74</v>
      </c>
      <c r="AT231" t="s">
        <v>74</v>
      </c>
      <c r="AU231">
        <v>1998</v>
      </c>
      <c r="AV231">
        <v>27</v>
      </c>
      <c r="AW231" t="s">
        <v>74</v>
      </c>
      <c r="AX231" t="s">
        <v>74</v>
      </c>
      <c r="AY231" t="s">
        <v>74</v>
      </c>
      <c r="AZ231" t="s">
        <v>74</v>
      </c>
      <c r="BA231" t="s">
        <v>74</v>
      </c>
      <c r="BB231">
        <v>187</v>
      </c>
      <c r="BC231">
        <v>193</v>
      </c>
      <c r="BD231" t="s">
        <v>74</v>
      </c>
      <c r="BE231" t="s">
        <v>74</v>
      </c>
      <c r="BF231" t="s">
        <v>74</v>
      </c>
      <c r="BG231" t="s">
        <v>74</v>
      </c>
      <c r="BH231" t="s">
        <v>74</v>
      </c>
      <c r="BI231">
        <v>7</v>
      </c>
      <c r="BJ231" t="s">
        <v>2826</v>
      </c>
      <c r="BK231" t="s">
        <v>397</v>
      </c>
      <c r="BL231" t="s">
        <v>2827</v>
      </c>
      <c r="BM231" t="s">
        <v>2828</v>
      </c>
      <c r="BN231" t="s">
        <v>74</v>
      </c>
      <c r="BO231" t="s">
        <v>74</v>
      </c>
      <c r="BP231" t="s">
        <v>74</v>
      </c>
      <c r="BQ231" t="s">
        <v>74</v>
      </c>
      <c r="BR231" t="s">
        <v>101</v>
      </c>
      <c r="BS231" t="s">
        <v>3077</v>
      </c>
      <c r="BT231" t="str">
        <f>HYPERLINK("https%3A%2F%2Fwww.webofscience.com%2Fwos%2Fwoscc%2Ffull-record%2FWOS:000079713100030","View Full Record in Web of Science")</f>
        <v>View Full Record in Web of Science</v>
      </c>
    </row>
    <row r="232" spans="1:72" x14ac:dyDescent="0.15">
      <c r="A232" t="s">
        <v>1540</v>
      </c>
      <c r="B232" t="s">
        <v>3078</v>
      </c>
      <c r="C232" t="s">
        <v>74</v>
      </c>
      <c r="D232" t="s">
        <v>2810</v>
      </c>
      <c r="E232" t="s">
        <v>74</v>
      </c>
      <c r="F232" t="s">
        <v>3078</v>
      </c>
      <c r="G232" t="s">
        <v>74</v>
      </c>
      <c r="H232" t="s">
        <v>74</v>
      </c>
      <c r="I232" t="s">
        <v>3079</v>
      </c>
      <c r="J232" t="s">
        <v>2812</v>
      </c>
      <c r="K232" t="s">
        <v>2813</v>
      </c>
      <c r="L232" t="s">
        <v>74</v>
      </c>
      <c r="M232" t="s">
        <v>77</v>
      </c>
      <c r="N232" t="s">
        <v>379</v>
      </c>
      <c r="O232" t="s">
        <v>2814</v>
      </c>
      <c r="P232" t="s">
        <v>2815</v>
      </c>
      <c r="Q232" t="s">
        <v>2816</v>
      </c>
      <c r="R232" t="s">
        <v>74</v>
      </c>
      <c r="S232" t="s">
        <v>74</v>
      </c>
      <c r="T232" t="s">
        <v>74</v>
      </c>
      <c r="U232" t="s">
        <v>3080</v>
      </c>
      <c r="V232" t="s">
        <v>3081</v>
      </c>
      <c r="W232" t="s">
        <v>3063</v>
      </c>
      <c r="X232" t="s">
        <v>1714</v>
      </c>
      <c r="Y232" t="s">
        <v>2843</v>
      </c>
      <c r="Z232" t="s">
        <v>74</v>
      </c>
      <c r="AA232" t="s">
        <v>3082</v>
      </c>
      <c r="AB232" t="s">
        <v>2920</v>
      </c>
      <c r="AC232" t="s">
        <v>74</v>
      </c>
      <c r="AD232" t="s">
        <v>74</v>
      </c>
      <c r="AE232" t="s">
        <v>74</v>
      </c>
      <c r="AF232" t="s">
        <v>74</v>
      </c>
      <c r="AG232">
        <v>32</v>
      </c>
      <c r="AH232">
        <v>9</v>
      </c>
      <c r="AI232">
        <v>11</v>
      </c>
      <c r="AJ232">
        <v>0</v>
      </c>
      <c r="AK232">
        <v>1</v>
      </c>
      <c r="AL232" t="s">
        <v>2783</v>
      </c>
      <c r="AM232" t="s">
        <v>115</v>
      </c>
      <c r="AN232" t="s">
        <v>2784</v>
      </c>
      <c r="AO232" t="s">
        <v>2785</v>
      </c>
      <c r="AP232" t="s">
        <v>74</v>
      </c>
      <c r="AQ232" t="s">
        <v>2824</v>
      </c>
      <c r="AR232" t="s">
        <v>2825</v>
      </c>
      <c r="AS232" t="s">
        <v>74</v>
      </c>
      <c r="AT232" t="s">
        <v>74</v>
      </c>
      <c r="AU232">
        <v>1998</v>
      </c>
      <c r="AV232">
        <v>27</v>
      </c>
      <c r="AW232" t="s">
        <v>74</v>
      </c>
      <c r="AX232" t="s">
        <v>74</v>
      </c>
      <c r="AY232" t="s">
        <v>74</v>
      </c>
      <c r="AZ232" t="s">
        <v>74</v>
      </c>
      <c r="BA232" t="s">
        <v>74</v>
      </c>
      <c r="BB232">
        <v>194</v>
      </c>
      <c r="BC232">
        <v>200</v>
      </c>
      <c r="BD232" t="s">
        <v>74</v>
      </c>
      <c r="BE232" t="s">
        <v>74</v>
      </c>
      <c r="BF232" t="s">
        <v>74</v>
      </c>
      <c r="BG232" t="s">
        <v>74</v>
      </c>
      <c r="BH232" t="s">
        <v>74</v>
      </c>
      <c r="BI232">
        <v>7</v>
      </c>
      <c r="BJ232" t="s">
        <v>2826</v>
      </c>
      <c r="BK232" t="s">
        <v>397</v>
      </c>
      <c r="BL232" t="s">
        <v>2827</v>
      </c>
      <c r="BM232" t="s">
        <v>2828</v>
      </c>
      <c r="BN232" t="s">
        <v>74</v>
      </c>
      <c r="BO232" t="s">
        <v>74</v>
      </c>
      <c r="BP232" t="s">
        <v>74</v>
      </c>
      <c r="BQ232" t="s">
        <v>74</v>
      </c>
      <c r="BR232" t="s">
        <v>101</v>
      </c>
      <c r="BS232" t="s">
        <v>3083</v>
      </c>
      <c r="BT232" t="str">
        <f>HYPERLINK("https%3A%2F%2Fwww.webofscience.com%2Fwos%2Fwoscc%2Ffull-record%2FWOS:000079713100031","View Full Record in Web of Science")</f>
        <v>View Full Record in Web of Science</v>
      </c>
    </row>
    <row r="233" spans="1:72" x14ac:dyDescent="0.15">
      <c r="A233" t="s">
        <v>1540</v>
      </c>
      <c r="B233" t="s">
        <v>3084</v>
      </c>
      <c r="C233" t="s">
        <v>74</v>
      </c>
      <c r="D233" t="s">
        <v>2810</v>
      </c>
      <c r="E233" t="s">
        <v>74</v>
      </c>
      <c r="F233" t="s">
        <v>3084</v>
      </c>
      <c r="G233" t="s">
        <v>74</v>
      </c>
      <c r="H233" t="s">
        <v>74</v>
      </c>
      <c r="I233" t="s">
        <v>3085</v>
      </c>
      <c r="J233" t="s">
        <v>2812</v>
      </c>
      <c r="K233" t="s">
        <v>2813</v>
      </c>
      <c r="L233" t="s">
        <v>74</v>
      </c>
      <c r="M233" t="s">
        <v>77</v>
      </c>
      <c r="N233" t="s">
        <v>379</v>
      </c>
      <c r="O233" t="s">
        <v>2814</v>
      </c>
      <c r="P233" t="s">
        <v>2815</v>
      </c>
      <c r="Q233" t="s">
        <v>2816</v>
      </c>
      <c r="R233" t="s">
        <v>74</v>
      </c>
      <c r="S233" t="s">
        <v>74</v>
      </c>
      <c r="T233" t="s">
        <v>74</v>
      </c>
      <c r="U233" t="s">
        <v>74</v>
      </c>
      <c r="V233" t="s">
        <v>3086</v>
      </c>
      <c r="W233" t="s">
        <v>3087</v>
      </c>
      <c r="X233" t="s">
        <v>3088</v>
      </c>
      <c r="Y233" t="s">
        <v>3089</v>
      </c>
      <c r="Z233" t="s">
        <v>74</v>
      </c>
      <c r="AA233" t="s">
        <v>3090</v>
      </c>
      <c r="AB233" t="s">
        <v>3091</v>
      </c>
      <c r="AC233" t="s">
        <v>74</v>
      </c>
      <c r="AD233" t="s">
        <v>74</v>
      </c>
      <c r="AE233" t="s">
        <v>74</v>
      </c>
      <c r="AF233" t="s">
        <v>74</v>
      </c>
      <c r="AG233">
        <v>16</v>
      </c>
      <c r="AH233">
        <v>15</v>
      </c>
      <c r="AI233">
        <v>17</v>
      </c>
      <c r="AJ233">
        <v>0</v>
      </c>
      <c r="AK233">
        <v>2</v>
      </c>
      <c r="AL233" t="s">
        <v>2783</v>
      </c>
      <c r="AM233" t="s">
        <v>115</v>
      </c>
      <c r="AN233" t="s">
        <v>2784</v>
      </c>
      <c r="AO233" t="s">
        <v>2785</v>
      </c>
      <c r="AP233" t="s">
        <v>74</v>
      </c>
      <c r="AQ233" t="s">
        <v>2824</v>
      </c>
      <c r="AR233" t="s">
        <v>2825</v>
      </c>
      <c r="AS233" t="s">
        <v>74</v>
      </c>
      <c r="AT233" t="s">
        <v>74</v>
      </c>
      <c r="AU233">
        <v>1998</v>
      </c>
      <c r="AV233">
        <v>27</v>
      </c>
      <c r="AW233" t="s">
        <v>74</v>
      </c>
      <c r="AX233" t="s">
        <v>74</v>
      </c>
      <c r="AY233" t="s">
        <v>74</v>
      </c>
      <c r="AZ233" t="s">
        <v>74</v>
      </c>
      <c r="BA233" t="s">
        <v>74</v>
      </c>
      <c r="BB233">
        <v>201</v>
      </c>
      <c r="BC233">
        <v>206</v>
      </c>
      <c r="BD233" t="s">
        <v>74</v>
      </c>
      <c r="BE233" t="s">
        <v>74</v>
      </c>
      <c r="BF233" t="s">
        <v>74</v>
      </c>
      <c r="BG233" t="s">
        <v>74</v>
      </c>
      <c r="BH233" t="s">
        <v>74</v>
      </c>
      <c r="BI233">
        <v>6</v>
      </c>
      <c r="BJ233" t="s">
        <v>2826</v>
      </c>
      <c r="BK233" t="s">
        <v>397</v>
      </c>
      <c r="BL233" t="s">
        <v>2827</v>
      </c>
      <c r="BM233" t="s">
        <v>2828</v>
      </c>
      <c r="BN233" t="s">
        <v>74</v>
      </c>
      <c r="BO233" t="s">
        <v>74</v>
      </c>
      <c r="BP233" t="s">
        <v>74</v>
      </c>
      <c r="BQ233" t="s">
        <v>74</v>
      </c>
      <c r="BR233" t="s">
        <v>101</v>
      </c>
      <c r="BS233" t="s">
        <v>3092</v>
      </c>
      <c r="BT233" t="str">
        <f>HYPERLINK("https%3A%2F%2Fwww.webofscience.com%2Fwos%2Fwoscc%2Ffull-record%2FWOS:000079713100032","View Full Record in Web of Science")</f>
        <v>View Full Record in Web of Science</v>
      </c>
    </row>
    <row r="234" spans="1:72" x14ac:dyDescent="0.15">
      <c r="A234" t="s">
        <v>1540</v>
      </c>
      <c r="B234" t="s">
        <v>3093</v>
      </c>
      <c r="C234" t="s">
        <v>74</v>
      </c>
      <c r="D234" t="s">
        <v>2810</v>
      </c>
      <c r="E234" t="s">
        <v>74</v>
      </c>
      <c r="F234" t="s">
        <v>3093</v>
      </c>
      <c r="G234" t="s">
        <v>74</v>
      </c>
      <c r="H234" t="s">
        <v>74</v>
      </c>
      <c r="I234" t="s">
        <v>3094</v>
      </c>
      <c r="J234" t="s">
        <v>2812</v>
      </c>
      <c r="K234" t="s">
        <v>2774</v>
      </c>
      <c r="L234" t="s">
        <v>74</v>
      </c>
      <c r="M234" t="s">
        <v>77</v>
      </c>
      <c r="N234" t="s">
        <v>379</v>
      </c>
      <c r="O234" t="s">
        <v>2814</v>
      </c>
      <c r="P234" t="s">
        <v>2815</v>
      </c>
      <c r="Q234" t="s">
        <v>2816</v>
      </c>
      <c r="R234" t="s">
        <v>74</v>
      </c>
      <c r="S234" t="s">
        <v>74</v>
      </c>
      <c r="T234" t="s">
        <v>74</v>
      </c>
      <c r="U234" t="s">
        <v>3095</v>
      </c>
      <c r="V234" t="s">
        <v>3096</v>
      </c>
      <c r="W234" t="s">
        <v>3097</v>
      </c>
      <c r="X234" t="s">
        <v>3098</v>
      </c>
      <c r="Y234" t="s">
        <v>3099</v>
      </c>
      <c r="Z234" t="s">
        <v>74</v>
      </c>
      <c r="AA234" t="s">
        <v>3100</v>
      </c>
      <c r="AB234" t="s">
        <v>3101</v>
      </c>
      <c r="AC234" t="s">
        <v>74</v>
      </c>
      <c r="AD234" t="s">
        <v>74</v>
      </c>
      <c r="AE234" t="s">
        <v>74</v>
      </c>
      <c r="AF234" t="s">
        <v>74</v>
      </c>
      <c r="AG234">
        <v>21</v>
      </c>
      <c r="AH234">
        <v>27</v>
      </c>
      <c r="AI234">
        <v>28</v>
      </c>
      <c r="AJ234">
        <v>0</v>
      </c>
      <c r="AK234">
        <v>6</v>
      </c>
      <c r="AL234" t="s">
        <v>2783</v>
      </c>
      <c r="AM234" t="s">
        <v>115</v>
      </c>
      <c r="AN234" t="s">
        <v>2856</v>
      </c>
      <c r="AO234" t="s">
        <v>2785</v>
      </c>
      <c r="AP234" t="s">
        <v>74</v>
      </c>
      <c r="AQ234" t="s">
        <v>2824</v>
      </c>
      <c r="AR234" t="s">
        <v>2787</v>
      </c>
      <c r="AS234" t="s">
        <v>74</v>
      </c>
      <c r="AT234" t="s">
        <v>74</v>
      </c>
      <c r="AU234">
        <v>1998</v>
      </c>
      <c r="AV234">
        <v>27</v>
      </c>
      <c r="AW234" t="s">
        <v>74</v>
      </c>
      <c r="AX234" t="s">
        <v>74</v>
      </c>
      <c r="AY234" t="s">
        <v>74</v>
      </c>
      <c r="AZ234" t="s">
        <v>74</v>
      </c>
      <c r="BA234" t="s">
        <v>74</v>
      </c>
      <c r="BB234">
        <v>207</v>
      </c>
      <c r="BC234">
        <v>214</v>
      </c>
      <c r="BD234" t="s">
        <v>74</v>
      </c>
      <c r="BE234" t="s">
        <v>74</v>
      </c>
      <c r="BF234" t="s">
        <v>74</v>
      </c>
      <c r="BG234" t="s">
        <v>74</v>
      </c>
      <c r="BH234" t="s">
        <v>74</v>
      </c>
      <c r="BI234">
        <v>8</v>
      </c>
      <c r="BJ234" t="s">
        <v>2826</v>
      </c>
      <c r="BK234" t="s">
        <v>397</v>
      </c>
      <c r="BL234" t="s">
        <v>2827</v>
      </c>
      <c r="BM234" t="s">
        <v>2828</v>
      </c>
      <c r="BN234" t="s">
        <v>74</v>
      </c>
      <c r="BO234" t="s">
        <v>74</v>
      </c>
      <c r="BP234" t="s">
        <v>74</v>
      </c>
      <c r="BQ234" t="s">
        <v>74</v>
      </c>
      <c r="BR234" t="s">
        <v>101</v>
      </c>
      <c r="BS234" t="s">
        <v>3102</v>
      </c>
      <c r="BT234" t="str">
        <f>HYPERLINK("https%3A%2F%2Fwww.webofscience.com%2Fwos%2Fwoscc%2Ffull-record%2FWOS:000079713100033","View Full Record in Web of Science")</f>
        <v>View Full Record in Web of Science</v>
      </c>
    </row>
    <row r="235" spans="1:72" x14ac:dyDescent="0.15">
      <c r="A235" t="s">
        <v>1540</v>
      </c>
      <c r="B235" t="s">
        <v>3103</v>
      </c>
      <c r="C235" t="s">
        <v>74</v>
      </c>
      <c r="D235" t="s">
        <v>2810</v>
      </c>
      <c r="E235" t="s">
        <v>74</v>
      </c>
      <c r="F235" t="s">
        <v>3103</v>
      </c>
      <c r="G235" t="s">
        <v>74</v>
      </c>
      <c r="H235" t="s">
        <v>74</v>
      </c>
      <c r="I235" t="s">
        <v>3104</v>
      </c>
      <c r="J235" t="s">
        <v>2812</v>
      </c>
      <c r="K235" t="s">
        <v>2813</v>
      </c>
      <c r="L235" t="s">
        <v>74</v>
      </c>
      <c r="M235" t="s">
        <v>77</v>
      </c>
      <c r="N235" t="s">
        <v>379</v>
      </c>
      <c r="O235" t="s">
        <v>2814</v>
      </c>
      <c r="P235" t="s">
        <v>2815</v>
      </c>
      <c r="Q235" t="s">
        <v>2816</v>
      </c>
      <c r="R235" t="s">
        <v>74</v>
      </c>
      <c r="S235" t="s">
        <v>74</v>
      </c>
      <c r="T235" t="s">
        <v>74</v>
      </c>
      <c r="U235" t="s">
        <v>3105</v>
      </c>
      <c r="V235" t="s">
        <v>3106</v>
      </c>
      <c r="W235" t="s">
        <v>3107</v>
      </c>
      <c r="X235" t="s">
        <v>3108</v>
      </c>
      <c r="Y235" t="s">
        <v>3109</v>
      </c>
      <c r="Z235" t="s">
        <v>74</v>
      </c>
      <c r="AA235" t="s">
        <v>3110</v>
      </c>
      <c r="AB235" t="s">
        <v>3111</v>
      </c>
      <c r="AC235" t="s">
        <v>74</v>
      </c>
      <c r="AD235" t="s">
        <v>74</v>
      </c>
      <c r="AE235" t="s">
        <v>74</v>
      </c>
      <c r="AF235" t="s">
        <v>74</v>
      </c>
      <c r="AG235">
        <v>25</v>
      </c>
      <c r="AH235">
        <v>11</v>
      </c>
      <c r="AI235">
        <v>14</v>
      </c>
      <c r="AJ235">
        <v>0</v>
      </c>
      <c r="AK235">
        <v>4</v>
      </c>
      <c r="AL235" t="s">
        <v>2783</v>
      </c>
      <c r="AM235" t="s">
        <v>115</v>
      </c>
      <c r="AN235" t="s">
        <v>2784</v>
      </c>
      <c r="AO235" t="s">
        <v>2785</v>
      </c>
      <c r="AP235" t="s">
        <v>74</v>
      </c>
      <c r="AQ235" t="s">
        <v>2824</v>
      </c>
      <c r="AR235" t="s">
        <v>2825</v>
      </c>
      <c r="AS235" t="s">
        <v>74</v>
      </c>
      <c r="AT235" t="s">
        <v>74</v>
      </c>
      <c r="AU235">
        <v>1998</v>
      </c>
      <c r="AV235">
        <v>27</v>
      </c>
      <c r="AW235" t="s">
        <v>74</v>
      </c>
      <c r="AX235" t="s">
        <v>74</v>
      </c>
      <c r="AY235" t="s">
        <v>74</v>
      </c>
      <c r="AZ235" t="s">
        <v>74</v>
      </c>
      <c r="BA235" t="s">
        <v>74</v>
      </c>
      <c r="BB235">
        <v>215</v>
      </c>
      <c r="BC235">
        <v>219</v>
      </c>
      <c r="BD235" t="s">
        <v>74</v>
      </c>
      <c r="BE235" t="s">
        <v>74</v>
      </c>
      <c r="BF235" t="s">
        <v>74</v>
      </c>
      <c r="BG235" t="s">
        <v>74</v>
      </c>
      <c r="BH235" t="s">
        <v>74</v>
      </c>
      <c r="BI235">
        <v>5</v>
      </c>
      <c r="BJ235" t="s">
        <v>2826</v>
      </c>
      <c r="BK235" t="s">
        <v>397</v>
      </c>
      <c r="BL235" t="s">
        <v>2827</v>
      </c>
      <c r="BM235" t="s">
        <v>2828</v>
      </c>
      <c r="BN235" t="s">
        <v>74</v>
      </c>
      <c r="BO235" t="s">
        <v>74</v>
      </c>
      <c r="BP235" t="s">
        <v>74</v>
      </c>
      <c r="BQ235" t="s">
        <v>74</v>
      </c>
      <c r="BR235" t="s">
        <v>101</v>
      </c>
      <c r="BS235" t="s">
        <v>3112</v>
      </c>
      <c r="BT235" t="str">
        <f>HYPERLINK("https%3A%2F%2Fwww.webofscience.com%2Fwos%2Fwoscc%2Ffull-record%2FWOS:000079713100034","View Full Record in Web of Science")</f>
        <v>View Full Record in Web of Science</v>
      </c>
    </row>
    <row r="236" spans="1:72" x14ac:dyDescent="0.15">
      <c r="A236" t="s">
        <v>1540</v>
      </c>
      <c r="B236" t="s">
        <v>3113</v>
      </c>
      <c r="C236" t="s">
        <v>74</v>
      </c>
      <c r="D236" t="s">
        <v>2810</v>
      </c>
      <c r="E236" t="s">
        <v>74</v>
      </c>
      <c r="F236" t="s">
        <v>3113</v>
      </c>
      <c r="G236" t="s">
        <v>74</v>
      </c>
      <c r="H236" t="s">
        <v>74</v>
      </c>
      <c r="I236" t="s">
        <v>3114</v>
      </c>
      <c r="J236" t="s">
        <v>2812</v>
      </c>
      <c r="K236" t="s">
        <v>2813</v>
      </c>
      <c r="L236" t="s">
        <v>74</v>
      </c>
      <c r="M236" t="s">
        <v>77</v>
      </c>
      <c r="N236" t="s">
        <v>379</v>
      </c>
      <c r="O236" t="s">
        <v>2814</v>
      </c>
      <c r="P236" t="s">
        <v>2815</v>
      </c>
      <c r="Q236" t="s">
        <v>2816</v>
      </c>
      <c r="R236" t="s">
        <v>74</v>
      </c>
      <c r="S236" t="s">
        <v>74</v>
      </c>
      <c r="T236" t="s">
        <v>74</v>
      </c>
      <c r="U236" t="s">
        <v>3115</v>
      </c>
      <c r="V236" t="s">
        <v>3116</v>
      </c>
      <c r="W236" t="s">
        <v>3117</v>
      </c>
      <c r="X236" t="s">
        <v>3118</v>
      </c>
      <c r="Y236" t="s">
        <v>3119</v>
      </c>
      <c r="Z236" t="s">
        <v>74</v>
      </c>
      <c r="AA236" t="s">
        <v>626</v>
      </c>
      <c r="AB236" t="s">
        <v>74</v>
      </c>
      <c r="AC236" t="s">
        <v>74</v>
      </c>
      <c r="AD236" t="s">
        <v>74</v>
      </c>
      <c r="AE236" t="s">
        <v>74</v>
      </c>
      <c r="AF236" t="s">
        <v>74</v>
      </c>
      <c r="AG236">
        <v>39</v>
      </c>
      <c r="AH236">
        <v>10</v>
      </c>
      <c r="AI236">
        <v>11</v>
      </c>
      <c r="AJ236">
        <v>0</v>
      </c>
      <c r="AK236">
        <v>3</v>
      </c>
      <c r="AL236" t="s">
        <v>2783</v>
      </c>
      <c r="AM236" t="s">
        <v>115</v>
      </c>
      <c r="AN236" t="s">
        <v>2784</v>
      </c>
      <c r="AO236" t="s">
        <v>2785</v>
      </c>
      <c r="AP236" t="s">
        <v>74</v>
      </c>
      <c r="AQ236" t="s">
        <v>2824</v>
      </c>
      <c r="AR236" t="s">
        <v>2825</v>
      </c>
      <c r="AS236" t="s">
        <v>74</v>
      </c>
      <c r="AT236" t="s">
        <v>74</v>
      </c>
      <c r="AU236">
        <v>1998</v>
      </c>
      <c r="AV236">
        <v>27</v>
      </c>
      <c r="AW236" t="s">
        <v>74</v>
      </c>
      <c r="AX236" t="s">
        <v>74</v>
      </c>
      <c r="AY236" t="s">
        <v>74</v>
      </c>
      <c r="AZ236" t="s">
        <v>74</v>
      </c>
      <c r="BA236" t="s">
        <v>74</v>
      </c>
      <c r="BB236">
        <v>220</v>
      </c>
      <c r="BC236">
        <v>226</v>
      </c>
      <c r="BD236" t="s">
        <v>74</v>
      </c>
      <c r="BE236" t="s">
        <v>74</v>
      </c>
      <c r="BF236" t="s">
        <v>74</v>
      </c>
      <c r="BG236" t="s">
        <v>74</v>
      </c>
      <c r="BH236" t="s">
        <v>74</v>
      </c>
      <c r="BI236">
        <v>7</v>
      </c>
      <c r="BJ236" t="s">
        <v>2826</v>
      </c>
      <c r="BK236" t="s">
        <v>397</v>
      </c>
      <c r="BL236" t="s">
        <v>2827</v>
      </c>
      <c r="BM236" t="s">
        <v>2828</v>
      </c>
      <c r="BN236" t="s">
        <v>74</v>
      </c>
      <c r="BO236" t="s">
        <v>74</v>
      </c>
      <c r="BP236" t="s">
        <v>74</v>
      </c>
      <c r="BQ236" t="s">
        <v>74</v>
      </c>
      <c r="BR236" t="s">
        <v>101</v>
      </c>
      <c r="BS236" t="s">
        <v>3120</v>
      </c>
      <c r="BT236" t="str">
        <f>HYPERLINK("https%3A%2F%2Fwww.webofscience.com%2Fwos%2Fwoscc%2Ffull-record%2FWOS:000079713100035","View Full Record in Web of Science")</f>
        <v>View Full Record in Web of Science</v>
      </c>
    </row>
    <row r="237" spans="1:72" x14ac:dyDescent="0.15">
      <c r="A237" t="s">
        <v>1540</v>
      </c>
      <c r="B237" t="s">
        <v>3121</v>
      </c>
      <c r="C237" t="s">
        <v>74</v>
      </c>
      <c r="D237" t="s">
        <v>2810</v>
      </c>
      <c r="E237" t="s">
        <v>74</v>
      </c>
      <c r="F237" t="s">
        <v>3121</v>
      </c>
      <c r="G237" t="s">
        <v>74</v>
      </c>
      <c r="H237" t="s">
        <v>74</v>
      </c>
      <c r="I237" t="s">
        <v>3122</v>
      </c>
      <c r="J237" t="s">
        <v>2812</v>
      </c>
      <c r="K237" t="s">
        <v>2774</v>
      </c>
      <c r="L237" t="s">
        <v>74</v>
      </c>
      <c r="M237" t="s">
        <v>77</v>
      </c>
      <c r="N237" t="s">
        <v>379</v>
      </c>
      <c r="O237" t="s">
        <v>2814</v>
      </c>
      <c r="P237" t="s">
        <v>2815</v>
      </c>
      <c r="Q237" t="s">
        <v>2816</v>
      </c>
      <c r="R237" t="s">
        <v>74</v>
      </c>
      <c r="S237" t="s">
        <v>74</v>
      </c>
      <c r="T237" t="s">
        <v>74</v>
      </c>
      <c r="U237" t="s">
        <v>3123</v>
      </c>
      <c r="V237" t="s">
        <v>3124</v>
      </c>
      <c r="W237" t="s">
        <v>3125</v>
      </c>
      <c r="X237" t="s">
        <v>3023</v>
      </c>
      <c r="Y237" t="s">
        <v>3126</v>
      </c>
      <c r="Z237" t="s">
        <v>74</v>
      </c>
      <c r="AA237" t="s">
        <v>74</v>
      </c>
      <c r="AB237" t="s">
        <v>3127</v>
      </c>
      <c r="AC237" t="s">
        <v>74</v>
      </c>
      <c r="AD237" t="s">
        <v>74</v>
      </c>
      <c r="AE237" t="s">
        <v>74</v>
      </c>
      <c r="AF237" t="s">
        <v>74</v>
      </c>
      <c r="AG237">
        <v>20</v>
      </c>
      <c r="AH237">
        <v>13</v>
      </c>
      <c r="AI237">
        <v>14</v>
      </c>
      <c r="AJ237">
        <v>0</v>
      </c>
      <c r="AK237">
        <v>2</v>
      </c>
      <c r="AL237" t="s">
        <v>2783</v>
      </c>
      <c r="AM237" t="s">
        <v>115</v>
      </c>
      <c r="AN237" t="s">
        <v>2856</v>
      </c>
      <c r="AO237" t="s">
        <v>2785</v>
      </c>
      <c r="AP237" t="s">
        <v>74</v>
      </c>
      <c r="AQ237" t="s">
        <v>2824</v>
      </c>
      <c r="AR237" t="s">
        <v>2787</v>
      </c>
      <c r="AS237" t="s">
        <v>74</v>
      </c>
      <c r="AT237" t="s">
        <v>74</v>
      </c>
      <c r="AU237">
        <v>1998</v>
      </c>
      <c r="AV237">
        <v>27</v>
      </c>
      <c r="AW237" t="s">
        <v>74</v>
      </c>
      <c r="AX237" t="s">
        <v>74</v>
      </c>
      <c r="AY237" t="s">
        <v>74</v>
      </c>
      <c r="AZ237" t="s">
        <v>74</v>
      </c>
      <c r="BA237" t="s">
        <v>74</v>
      </c>
      <c r="BB237">
        <v>227</v>
      </c>
      <c r="BC237">
        <v>230</v>
      </c>
      <c r="BD237" t="s">
        <v>74</v>
      </c>
      <c r="BE237" t="s">
        <v>74</v>
      </c>
      <c r="BF237" t="s">
        <v>74</v>
      </c>
      <c r="BG237" t="s">
        <v>74</v>
      </c>
      <c r="BH237" t="s">
        <v>74</v>
      </c>
      <c r="BI237">
        <v>4</v>
      </c>
      <c r="BJ237" t="s">
        <v>2826</v>
      </c>
      <c r="BK237" t="s">
        <v>397</v>
      </c>
      <c r="BL237" t="s">
        <v>2827</v>
      </c>
      <c r="BM237" t="s">
        <v>2828</v>
      </c>
      <c r="BN237" t="s">
        <v>74</v>
      </c>
      <c r="BO237" t="s">
        <v>74</v>
      </c>
      <c r="BP237" t="s">
        <v>74</v>
      </c>
      <c r="BQ237" t="s">
        <v>74</v>
      </c>
      <c r="BR237" t="s">
        <v>101</v>
      </c>
      <c r="BS237" t="s">
        <v>3128</v>
      </c>
      <c r="BT237" t="str">
        <f>HYPERLINK("https%3A%2F%2Fwww.webofscience.com%2Fwos%2Fwoscc%2Ffull-record%2FWOS:000079713100036","View Full Record in Web of Science")</f>
        <v>View Full Record in Web of Science</v>
      </c>
    </row>
    <row r="238" spans="1:72" x14ac:dyDescent="0.15">
      <c r="A238" t="s">
        <v>1540</v>
      </c>
      <c r="B238" t="s">
        <v>3129</v>
      </c>
      <c r="C238" t="s">
        <v>74</v>
      </c>
      <c r="D238" t="s">
        <v>2810</v>
      </c>
      <c r="E238" t="s">
        <v>74</v>
      </c>
      <c r="F238" t="s">
        <v>3129</v>
      </c>
      <c r="G238" t="s">
        <v>74</v>
      </c>
      <c r="H238" t="s">
        <v>74</v>
      </c>
      <c r="I238" t="s">
        <v>3130</v>
      </c>
      <c r="J238" t="s">
        <v>2812</v>
      </c>
      <c r="K238" t="s">
        <v>2774</v>
      </c>
      <c r="L238" t="s">
        <v>74</v>
      </c>
      <c r="M238" t="s">
        <v>77</v>
      </c>
      <c r="N238" t="s">
        <v>379</v>
      </c>
      <c r="O238" t="s">
        <v>2814</v>
      </c>
      <c r="P238" t="s">
        <v>2815</v>
      </c>
      <c r="Q238" t="s">
        <v>2816</v>
      </c>
      <c r="R238" t="s">
        <v>74</v>
      </c>
      <c r="S238" t="s">
        <v>74</v>
      </c>
      <c r="T238" t="s">
        <v>74</v>
      </c>
      <c r="U238" t="s">
        <v>3131</v>
      </c>
      <c r="V238" t="s">
        <v>3132</v>
      </c>
      <c r="W238" t="s">
        <v>3133</v>
      </c>
      <c r="X238" t="s">
        <v>3134</v>
      </c>
      <c r="Y238" t="s">
        <v>3135</v>
      </c>
      <c r="Z238" t="s">
        <v>74</v>
      </c>
      <c r="AA238" t="s">
        <v>74</v>
      </c>
      <c r="AB238" t="s">
        <v>74</v>
      </c>
      <c r="AC238" t="s">
        <v>74</v>
      </c>
      <c r="AD238" t="s">
        <v>74</v>
      </c>
      <c r="AE238" t="s">
        <v>74</v>
      </c>
      <c r="AF238" t="s">
        <v>74</v>
      </c>
      <c r="AG238">
        <v>36</v>
      </c>
      <c r="AH238">
        <v>21</v>
      </c>
      <c r="AI238">
        <v>21</v>
      </c>
      <c r="AJ238">
        <v>0</v>
      </c>
      <c r="AK238">
        <v>3</v>
      </c>
      <c r="AL238" t="s">
        <v>2783</v>
      </c>
      <c r="AM238" t="s">
        <v>115</v>
      </c>
      <c r="AN238" t="s">
        <v>2856</v>
      </c>
      <c r="AO238" t="s">
        <v>2785</v>
      </c>
      <c r="AP238" t="s">
        <v>74</v>
      </c>
      <c r="AQ238" t="s">
        <v>2824</v>
      </c>
      <c r="AR238" t="s">
        <v>2787</v>
      </c>
      <c r="AS238" t="s">
        <v>74</v>
      </c>
      <c r="AT238" t="s">
        <v>74</v>
      </c>
      <c r="AU238">
        <v>1998</v>
      </c>
      <c r="AV238">
        <v>27</v>
      </c>
      <c r="AW238" t="s">
        <v>74</v>
      </c>
      <c r="AX238" t="s">
        <v>74</v>
      </c>
      <c r="AY238" t="s">
        <v>74</v>
      </c>
      <c r="AZ238" t="s">
        <v>74</v>
      </c>
      <c r="BA238" t="s">
        <v>74</v>
      </c>
      <c r="BB238">
        <v>231</v>
      </c>
      <c r="BC238">
        <v>238</v>
      </c>
      <c r="BD238" t="s">
        <v>74</v>
      </c>
      <c r="BE238" t="s">
        <v>74</v>
      </c>
      <c r="BF238" t="s">
        <v>74</v>
      </c>
      <c r="BG238" t="s">
        <v>74</v>
      </c>
      <c r="BH238" t="s">
        <v>74</v>
      </c>
      <c r="BI238">
        <v>8</v>
      </c>
      <c r="BJ238" t="s">
        <v>2826</v>
      </c>
      <c r="BK238" t="s">
        <v>397</v>
      </c>
      <c r="BL238" t="s">
        <v>2827</v>
      </c>
      <c r="BM238" t="s">
        <v>2828</v>
      </c>
      <c r="BN238" t="s">
        <v>74</v>
      </c>
      <c r="BO238" t="s">
        <v>74</v>
      </c>
      <c r="BP238" t="s">
        <v>74</v>
      </c>
      <c r="BQ238" t="s">
        <v>74</v>
      </c>
      <c r="BR238" t="s">
        <v>101</v>
      </c>
      <c r="BS238" t="s">
        <v>3136</v>
      </c>
      <c r="BT238" t="str">
        <f>HYPERLINK("https%3A%2F%2Fwww.webofscience.com%2Fwos%2Fwoscc%2Ffull-record%2FWOS:000079713100037","View Full Record in Web of Science")</f>
        <v>View Full Record in Web of Science</v>
      </c>
    </row>
    <row r="239" spans="1:72" x14ac:dyDescent="0.15">
      <c r="A239" t="s">
        <v>1540</v>
      </c>
      <c r="B239" t="s">
        <v>3137</v>
      </c>
      <c r="C239" t="s">
        <v>74</v>
      </c>
      <c r="D239" t="s">
        <v>2810</v>
      </c>
      <c r="E239" t="s">
        <v>74</v>
      </c>
      <c r="F239" t="s">
        <v>3137</v>
      </c>
      <c r="G239" t="s">
        <v>74</v>
      </c>
      <c r="H239" t="s">
        <v>74</v>
      </c>
      <c r="I239" t="s">
        <v>3138</v>
      </c>
      <c r="J239" t="s">
        <v>2812</v>
      </c>
      <c r="K239" t="s">
        <v>2774</v>
      </c>
      <c r="L239" t="s">
        <v>74</v>
      </c>
      <c r="M239" t="s">
        <v>77</v>
      </c>
      <c r="N239" t="s">
        <v>379</v>
      </c>
      <c r="O239" t="s">
        <v>2814</v>
      </c>
      <c r="P239" t="s">
        <v>2815</v>
      </c>
      <c r="Q239" t="s">
        <v>2816</v>
      </c>
      <c r="R239" t="s">
        <v>74</v>
      </c>
      <c r="S239" t="s">
        <v>74</v>
      </c>
      <c r="T239" t="s">
        <v>74</v>
      </c>
      <c r="U239" t="s">
        <v>3139</v>
      </c>
      <c r="V239" t="s">
        <v>3140</v>
      </c>
      <c r="W239" t="s">
        <v>3141</v>
      </c>
      <c r="X239" t="s">
        <v>672</v>
      </c>
      <c r="Y239" t="s">
        <v>3142</v>
      </c>
      <c r="Z239" t="s">
        <v>74</v>
      </c>
      <c r="AA239" t="s">
        <v>3143</v>
      </c>
      <c r="AB239" t="s">
        <v>3144</v>
      </c>
      <c r="AC239" t="s">
        <v>74</v>
      </c>
      <c r="AD239" t="s">
        <v>74</v>
      </c>
      <c r="AE239" t="s">
        <v>74</v>
      </c>
      <c r="AF239" t="s">
        <v>74</v>
      </c>
      <c r="AG239">
        <v>16</v>
      </c>
      <c r="AH239">
        <v>18</v>
      </c>
      <c r="AI239">
        <v>19</v>
      </c>
      <c r="AJ239">
        <v>0</v>
      </c>
      <c r="AK239">
        <v>5</v>
      </c>
      <c r="AL239" t="s">
        <v>2783</v>
      </c>
      <c r="AM239" t="s">
        <v>115</v>
      </c>
      <c r="AN239" t="s">
        <v>2856</v>
      </c>
      <c r="AO239" t="s">
        <v>2785</v>
      </c>
      <c r="AP239" t="s">
        <v>74</v>
      </c>
      <c r="AQ239" t="s">
        <v>2824</v>
      </c>
      <c r="AR239" t="s">
        <v>2787</v>
      </c>
      <c r="AS239" t="s">
        <v>74</v>
      </c>
      <c r="AT239" t="s">
        <v>74</v>
      </c>
      <c r="AU239">
        <v>1998</v>
      </c>
      <c r="AV239">
        <v>27</v>
      </c>
      <c r="AW239" t="s">
        <v>74</v>
      </c>
      <c r="AX239" t="s">
        <v>74</v>
      </c>
      <c r="AY239" t="s">
        <v>74</v>
      </c>
      <c r="AZ239" t="s">
        <v>74</v>
      </c>
      <c r="BA239" t="s">
        <v>74</v>
      </c>
      <c r="BB239">
        <v>239</v>
      </c>
      <c r="BC239">
        <v>245</v>
      </c>
      <c r="BD239" t="s">
        <v>74</v>
      </c>
      <c r="BE239" t="s">
        <v>74</v>
      </c>
      <c r="BF239" t="s">
        <v>74</v>
      </c>
      <c r="BG239" t="s">
        <v>74</v>
      </c>
      <c r="BH239" t="s">
        <v>74</v>
      </c>
      <c r="BI239">
        <v>7</v>
      </c>
      <c r="BJ239" t="s">
        <v>2826</v>
      </c>
      <c r="BK239" t="s">
        <v>397</v>
      </c>
      <c r="BL239" t="s">
        <v>2827</v>
      </c>
      <c r="BM239" t="s">
        <v>2828</v>
      </c>
      <c r="BN239" t="s">
        <v>74</v>
      </c>
      <c r="BO239" t="s">
        <v>74</v>
      </c>
      <c r="BP239" t="s">
        <v>74</v>
      </c>
      <c r="BQ239" t="s">
        <v>74</v>
      </c>
      <c r="BR239" t="s">
        <v>101</v>
      </c>
      <c r="BS239" t="s">
        <v>3145</v>
      </c>
      <c r="BT239" t="str">
        <f>HYPERLINK("https%3A%2F%2Fwww.webofscience.com%2Fwos%2Fwoscc%2Ffull-record%2FWOS:000079713100038","View Full Record in Web of Science")</f>
        <v>View Full Record in Web of Science</v>
      </c>
    </row>
    <row r="240" spans="1:72" x14ac:dyDescent="0.15">
      <c r="A240" t="s">
        <v>1540</v>
      </c>
      <c r="B240" t="s">
        <v>3146</v>
      </c>
      <c r="C240" t="s">
        <v>74</v>
      </c>
      <c r="D240" t="s">
        <v>2810</v>
      </c>
      <c r="E240" t="s">
        <v>74</v>
      </c>
      <c r="F240" t="s">
        <v>3146</v>
      </c>
      <c r="G240" t="s">
        <v>74</v>
      </c>
      <c r="H240" t="s">
        <v>74</v>
      </c>
      <c r="I240" t="s">
        <v>3147</v>
      </c>
      <c r="J240" t="s">
        <v>2812</v>
      </c>
      <c r="K240" t="s">
        <v>2774</v>
      </c>
      <c r="L240" t="s">
        <v>74</v>
      </c>
      <c r="M240" t="s">
        <v>77</v>
      </c>
      <c r="N240" t="s">
        <v>379</v>
      </c>
      <c r="O240" t="s">
        <v>2814</v>
      </c>
      <c r="P240" t="s">
        <v>2815</v>
      </c>
      <c r="Q240" t="s">
        <v>2816</v>
      </c>
      <c r="R240" t="s">
        <v>74</v>
      </c>
      <c r="S240" t="s">
        <v>74</v>
      </c>
      <c r="T240" t="s">
        <v>74</v>
      </c>
      <c r="U240" t="s">
        <v>3148</v>
      </c>
      <c r="V240" t="s">
        <v>3149</v>
      </c>
      <c r="W240" t="s">
        <v>3150</v>
      </c>
      <c r="X240" t="s">
        <v>3151</v>
      </c>
      <c r="Y240" t="s">
        <v>3152</v>
      </c>
      <c r="Z240" t="s">
        <v>74</v>
      </c>
      <c r="AA240" t="s">
        <v>74</v>
      </c>
      <c r="AB240" t="s">
        <v>74</v>
      </c>
      <c r="AC240" t="s">
        <v>74</v>
      </c>
      <c r="AD240" t="s">
        <v>74</v>
      </c>
      <c r="AE240" t="s">
        <v>74</v>
      </c>
      <c r="AF240" t="s">
        <v>74</v>
      </c>
      <c r="AG240">
        <v>22</v>
      </c>
      <c r="AH240">
        <v>23</v>
      </c>
      <c r="AI240">
        <v>23</v>
      </c>
      <c r="AJ240">
        <v>0</v>
      </c>
      <c r="AK240">
        <v>1</v>
      </c>
      <c r="AL240" t="s">
        <v>2783</v>
      </c>
      <c r="AM240" t="s">
        <v>115</v>
      </c>
      <c r="AN240" t="s">
        <v>2856</v>
      </c>
      <c r="AO240" t="s">
        <v>2785</v>
      </c>
      <c r="AP240" t="s">
        <v>74</v>
      </c>
      <c r="AQ240" t="s">
        <v>2824</v>
      </c>
      <c r="AR240" t="s">
        <v>2787</v>
      </c>
      <c r="AS240" t="s">
        <v>74</v>
      </c>
      <c r="AT240" t="s">
        <v>74</v>
      </c>
      <c r="AU240">
        <v>1998</v>
      </c>
      <c r="AV240">
        <v>27</v>
      </c>
      <c r="AW240" t="s">
        <v>74</v>
      </c>
      <c r="AX240" t="s">
        <v>74</v>
      </c>
      <c r="AY240" t="s">
        <v>74</v>
      </c>
      <c r="AZ240" t="s">
        <v>74</v>
      </c>
      <c r="BA240" t="s">
        <v>74</v>
      </c>
      <c r="BB240">
        <v>246</v>
      </c>
      <c r="BC240">
        <v>250</v>
      </c>
      <c r="BD240" t="s">
        <v>74</v>
      </c>
      <c r="BE240" t="s">
        <v>74</v>
      </c>
      <c r="BF240" t="s">
        <v>74</v>
      </c>
      <c r="BG240" t="s">
        <v>74</v>
      </c>
      <c r="BH240" t="s">
        <v>74</v>
      </c>
      <c r="BI240">
        <v>5</v>
      </c>
      <c r="BJ240" t="s">
        <v>2826</v>
      </c>
      <c r="BK240" t="s">
        <v>397</v>
      </c>
      <c r="BL240" t="s">
        <v>2827</v>
      </c>
      <c r="BM240" t="s">
        <v>2828</v>
      </c>
      <c r="BN240" t="s">
        <v>74</v>
      </c>
      <c r="BO240" t="s">
        <v>74</v>
      </c>
      <c r="BP240" t="s">
        <v>74</v>
      </c>
      <c r="BQ240" t="s">
        <v>74</v>
      </c>
      <c r="BR240" t="s">
        <v>101</v>
      </c>
      <c r="BS240" t="s">
        <v>3153</v>
      </c>
      <c r="BT240" t="str">
        <f>HYPERLINK("https%3A%2F%2Fwww.webofscience.com%2Fwos%2Fwoscc%2Ffull-record%2FWOS:000079713100039","View Full Record in Web of Science")</f>
        <v>View Full Record in Web of Science</v>
      </c>
    </row>
    <row r="241" spans="1:72" x14ac:dyDescent="0.15">
      <c r="A241" t="s">
        <v>1540</v>
      </c>
      <c r="B241" t="s">
        <v>3154</v>
      </c>
      <c r="C241" t="s">
        <v>74</v>
      </c>
      <c r="D241" t="s">
        <v>2810</v>
      </c>
      <c r="E241" t="s">
        <v>74</v>
      </c>
      <c r="F241" t="s">
        <v>3154</v>
      </c>
      <c r="G241" t="s">
        <v>74</v>
      </c>
      <c r="H241" t="s">
        <v>74</v>
      </c>
      <c r="I241" t="s">
        <v>3155</v>
      </c>
      <c r="J241" t="s">
        <v>2812</v>
      </c>
      <c r="K241" t="s">
        <v>2813</v>
      </c>
      <c r="L241" t="s">
        <v>74</v>
      </c>
      <c r="M241" t="s">
        <v>77</v>
      </c>
      <c r="N241" t="s">
        <v>379</v>
      </c>
      <c r="O241" t="s">
        <v>2814</v>
      </c>
      <c r="P241" t="s">
        <v>2815</v>
      </c>
      <c r="Q241" t="s">
        <v>2816</v>
      </c>
      <c r="R241" t="s">
        <v>74</v>
      </c>
      <c r="S241" t="s">
        <v>74</v>
      </c>
      <c r="T241" t="s">
        <v>74</v>
      </c>
      <c r="U241" t="s">
        <v>3156</v>
      </c>
      <c r="V241" t="s">
        <v>3157</v>
      </c>
      <c r="W241" t="s">
        <v>3158</v>
      </c>
      <c r="X241" t="s">
        <v>2147</v>
      </c>
      <c r="Y241" t="s">
        <v>3159</v>
      </c>
      <c r="Z241" t="s">
        <v>74</v>
      </c>
      <c r="AA241" t="s">
        <v>74</v>
      </c>
      <c r="AB241" t="s">
        <v>3160</v>
      </c>
      <c r="AC241" t="s">
        <v>74</v>
      </c>
      <c r="AD241" t="s">
        <v>74</v>
      </c>
      <c r="AE241" t="s">
        <v>74</v>
      </c>
      <c r="AF241" t="s">
        <v>74</v>
      </c>
      <c r="AG241">
        <v>36</v>
      </c>
      <c r="AH241">
        <v>68</v>
      </c>
      <c r="AI241">
        <v>73</v>
      </c>
      <c r="AJ241">
        <v>0</v>
      </c>
      <c r="AK241">
        <v>8</v>
      </c>
      <c r="AL241" t="s">
        <v>2783</v>
      </c>
      <c r="AM241" t="s">
        <v>115</v>
      </c>
      <c r="AN241" t="s">
        <v>2784</v>
      </c>
      <c r="AO241" t="s">
        <v>2785</v>
      </c>
      <c r="AP241" t="s">
        <v>74</v>
      </c>
      <c r="AQ241" t="s">
        <v>2824</v>
      </c>
      <c r="AR241" t="s">
        <v>2825</v>
      </c>
      <c r="AS241" t="s">
        <v>74</v>
      </c>
      <c r="AT241" t="s">
        <v>74</v>
      </c>
      <c r="AU241">
        <v>1998</v>
      </c>
      <c r="AV241">
        <v>27</v>
      </c>
      <c r="AW241" t="s">
        <v>74</v>
      </c>
      <c r="AX241" t="s">
        <v>74</v>
      </c>
      <c r="AY241" t="s">
        <v>74</v>
      </c>
      <c r="AZ241" t="s">
        <v>74</v>
      </c>
      <c r="BA241" t="s">
        <v>74</v>
      </c>
      <c r="BB241">
        <v>251</v>
      </c>
      <c r="BC241">
        <v>259</v>
      </c>
      <c r="BD241" t="s">
        <v>74</v>
      </c>
      <c r="BE241" t="s">
        <v>74</v>
      </c>
      <c r="BF241" t="s">
        <v>74</v>
      </c>
      <c r="BG241" t="s">
        <v>74</v>
      </c>
      <c r="BH241" t="s">
        <v>74</v>
      </c>
      <c r="BI241">
        <v>9</v>
      </c>
      <c r="BJ241" t="s">
        <v>2826</v>
      </c>
      <c r="BK241" t="s">
        <v>397</v>
      </c>
      <c r="BL241" t="s">
        <v>2827</v>
      </c>
      <c r="BM241" t="s">
        <v>2828</v>
      </c>
      <c r="BN241" t="s">
        <v>74</v>
      </c>
      <c r="BO241" t="s">
        <v>74</v>
      </c>
      <c r="BP241" t="s">
        <v>74</v>
      </c>
      <c r="BQ241" t="s">
        <v>74</v>
      </c>
      <c r="BR241" t="s">
        <v>101</v>
      </c>
      <c r="BS241" t="s">
        <v>3161</v>
      </c>
      <c r="BT241" t="str">
        <f>HYPERLINK("https%3A%2F%2Fwww.webofscience.com%2Fwos%2Fwoscc%2Ffull-record%2FWOS:000079713100040","View Full Record in Web of Science")</f>
        <v>View Full Record in Web of Science</v>
      </c>
    </row>
    <row r="242" spans="1:72" x14ac:dyDescent="0.15">
      <c r="A242" t="s">
        <v>1540</v>
      </c>
      <c r="B242" t="s">
        <v>3162</v>
      </c>
      <c r="C242" t="s">
        <v>74</v>
      </c>
      <c r="D242" t="s">
        <v>2810</v>
      </c>
      <c r="E242" t="s">
        <v>74</v>
      </c>
      <c r="F242" t="s">
        <v>3162</v>
      </c>
      <c r="G242" t="s">
        <v>74</v>
      </c>
      <c r="H242" t="s">
        <v>3163</v>
      </c>
      <c r="I242" t="s">
        <v>3164</v>
      </c>
      <c r="J242" t="s">
        <v>2812</v>
      </c>
      <c r="K242" t="s">
        <v>2774</v>
      </c>
      <c r="L242" t="s">
        <v>74</v>
      </c>
      <c r="M242" t="s">
        <v>77</v>
      </c>
      <c r="N242" t="s">
        <v>379</v>
      </c>
      <c r="O242" t="s">
        <v>2814</v>
      </c>
      <c r="P242" t="s">
        <v>2815</v>
      </c>
      <c r="Q242" t="s">
        <v>2816</v>
      </c>
      <c r="R242" t="s">
        <v>74</v>
      </c>
      <c r="S242" t="s">
        <v>74</v>
      </c>
      <c r="T242" t="s">
        <v>74</v>
      </c>
      <c r="U242" t="s">
        <v>3165</v>
      </c>
      <c r="V242" t="s">
        <v>3166</v>
      </c>
      <c r="W242" t="s">
        <v>3167</v>
      </c>
      <c r="X242" t="s">
        <v>3168</v>
      </c>
      <c r="Y242" t="s">
        <v>3169</v>
      </c>
      <c r="Z242" t="s">
        <v>74</v>
      </c>
      <c r="AA242" t="s">
        <v>3170</v>
      </c>
      <c r="AB242" t="s">
        <v>3171</v>
      </c>
      <c r="AC242" t="s">
        <v>74</v>
      </c>
      <c r="AD242" t="s">
        <v>74</v>
      </c>
      <c r="AE242" t="s">
        <v>74</v>
      </c>
      <c r="AF242" t="s">
        <v>74</v>
      </c>
      <c r="AG242">
        <v>12</v>
      </c>
      <c r="AH242">
        <v>1</v>
      </c>
      <c r="AI242">
        <v>3</v>
      </c>
      <c r="AJ242">
        <v>0</v>
      </c>
      <c r="AK242">
        <v>4</v>
      </c>
      <c r="AL242" t="s">
        <v>2783</v>
      </c>
      <c r="AM242" t="s">
        <v>115</v>
      </c>
      <c r="AN242" t="s">
        <v>2856</v>
      </c>
      <c r="AO242" t="s">
        <v>2785</v>
      </c>
      <c r="AP242" t="s">
        <v>74</v>
      </c>
      <c r="AQ242" t="s">
        <v>2824</v>
      </c>
      <c r="AR242" t="s">
        <v>2787</v>
      </c>
      <c r="AS242" t="s">
        <v>74</v>
      </c>
      <c r="AT242" t="s">
        <v>74</v>
      </c>
      <c r="AU242">
        <v>1998</v>
      </c>
      <c r="AV242">
        <v>27</v>
      </c>
      <c r="AW242" t="s">
        <v>74</v>
      </c>
      <c r="AX242" t="s">
        <v>74</v>
      </c>
      <c r="AY242" t="s">
        <v>74</v>
      </c>
      <c r="AZ242" t="s">
        <v>74</v>
      </c>
      <c r="BA242" t="s">
        <v>74</v>
      </c>
      <c r="BB242">
        <v>260</v>
      </c>
      <c r="BC242">
        <v>264</v>
      </c>
      <c r="BD242" t="s">
        <v>74</v>
      </c>
      <c r="BE242" t="s">
        <v>74</v>
      </c>
      <c r="BF242" t="s">
        <v>74</v>
      </c>
      <c r="BG242" t="s">
        <v>74</v>
      </c>
      <c r="BH242" t="s">
        <v>74</v>
      </c>
      <c r="BI242">
        <v>5</v>
      </c>
      <c r="BJ242" t="s">
        <v>2826</v>
      </c>
      <c r="BK242" t="s">
        <v>397</v>
      </c>
      <c r="BL242" t="s">
        <v>2827</v>
      </c>
      <c r="BM242" t="s">
        <v>2828</v>
      </c>
      <c r="BN242" t="s">
        <v>74</v>
      </c>
      <c r="BO242" t="s">
        <v>74</v>
      </c>
      <c r="BP242" t="s">
        <v>74</v>
      </c>
      <c r="BQ242" t="s">
        <v>74</v>
      </c>
      <c r="BR242" t="s">
        <v>101</v>
      </c>
      <c r="BS242" t="s">
        <v>3172</v>
      </c>
      <c r="BT242" t="str">
        <f>HYPERLINK("https%3A%2F%2Fwww.webofscience.com%2Fwos%2Fwoscc%2Ffull-record%2FWOS:000079713100041","View Full Record in Web of Science")</f>
        <v>View Full Record in Web of Science</v>
      </c>
    </row>
    <row r="243" spans="1:72" x14ac:dyDescent="0.15">
      <c r="A243" t="s">
        <v>1540</v>
      </c>
      <c r="B243" t="s">
        <v>3173</v>
      </c>
      <c r="C243" t="s">
        <v>74</v>
      </c>
      <c r="D243" t="s">
        <v>2810</v>
      </c>
      <c r="E243" t="s">
        <v>74</v>
      </c>
      <c r="F243" t="s">
        <v>3173</v>
      </c>
      <c r="G243" t="s">
        <v>74</v>
      </c>
      <c r="H243" t="s">
        <v>3163</v>
      </c>
      <c r="I243" t="s">
        <v>3174</v>
      </c>
      <c r="J243" t="s">
        <v>2812</v>
      </c>
      <c r="K243" t="s">
        <v>2774</v>
      </c>
      <c r="L243" t="s">
        <v>74</v>
      </c>
      <c r="M243" t="s">
        <v>77</v>
      </c>
      <c r="N243" t="s">
        <v>379</v>
      </c>
      <c r="O243" t="s">
        <v>2814</v>
      </c>
      <c r="P243" t="s">
        <v>2815</v>
      </c>
      <c r="Q243" t="s">
        <v>2816</v>
      </c>
      <c r="R243" t="s">
        <v>74</v>
      </c>
      <c r="S243" t="s">
        <v>74</v>
      </c>
      <c r="T243" t="s">
        <v>74</v>
      </c>
      <c r="U243" t="s">
        <v>3175</v>
      </c>
      <c r="V243" t="s">
        <v>3176</v>
      </c>
      <c r="W243" t="s">
        <v>3167</v>
      </c>
      <c r="X243" t="s">
        <v>3168</v>
      </c>
      <c r="Y243" t="s">
        <v>3169</v>
      </c>
      <c r="Z243" t="s">
        <v>74</v>
      </c>
      <c r="AA243" t="s">
        <v>3177</v>
      </c>
      <c r="AB243" t="s">
        <v>3178</v>
      </c>
      <c r="AC243" t="s">
        <v>74</v>
      </c>
      <c r="AD243" t="s">
        <v>74</v>
      </c>
      <c r="AE243" t="s">
        <v>74</v>
      </c>
      <c r="AF243" t="s">
        <v>74</v>
      </c>
      <c r="AG243">
        <v>9</v>
      </c>
      <c r="AH243">
        <v>1</v>
      </c>
      <c r="AI243">
        <v>1</v>
      </c>
      <c r="AJ243">
        <v>0</v>
      </c>
      <c r="AK243">
        <v>4</v>
      </c>
      <c r="AL243" t="s">
        <v>2783</v>
      </c>
      <c r="AM243" t="s">
        <v>115</v>
      </c>
      <c r="AN243" t="s">
        <v>2856</v>
      </c>
      <c r="AO243" t="s">
        <v>2785</v>
      </c>
      <c r="AP243" t="s">
        <v>74</v>
      </c>
      <c r="AQ243" t="s">
        <v>2824</v>
      </c>
      <c r="AR243" t="s">
        <v>2787</v>
      </c>
      <c r="AS243" t="s">
        <v>74</v>
      </c>
      <c r="AT243" t="s">
        <v>74</v>
      </c>
      <c r="AU243">
        <v>1998</v>
      </c>
      <c r="AV243">
        <v>27</v>
      </c>
      <c r="AW243" t="s">
        <v>74</v>
      </c>
      <c r="AX243" t="s">
        <v>74</v>
      </c>
      <c r="AY243" t="s">
        <v>74</v>
      </c>
      <c r="AZ243" t="s">
        <v>74</v>
      </c>
      <c r="BA243" t="s">
        <v>74</v>
      </c>
      <c r="BB243">
        <v>265</v>
      </c>
      <c r="BC243">
        <v>267</v>
      </c>
      <c r="BD243" t="s">
        <v>74</v>
      </c>
      <c r="BE243" t="s">
        <v>74</v>
      </c>
      <c r="BF243" t="s">
        <v>74</v>
      </c>
      <c r="BG243" t="s">
        <v>74</v>
      </c>
      <c r="BH243" t="s">
        <v>74</v>
      </c>
      <c r="BI243">
        <v>3</v>
      </c>
      <c r="BJ243" t="s">
        <v>2826</v>
      </c>
      <c r="BK243" t="s">
        <v>397</v>
      </c>
      <c r="BL243" t="s">
        <v>2827</v>
      </c>
      <c r="BM243" t="s">
        <v>2828</v>
      </c>
      <c r="BN243" t="s">
        <v>74</v>
      </c>
      <c r="BO243" t="s">
        <v>74</v>
      </c>
      <c r="BP243" t="s">
        <v>74</v>
      </c>
      <c r="BQ243" t="s">
        <v>74</v>
      </c>
      <c r="BR243" t="s">
        <v>101</v>
      </c>
      <c r="BS243" t="s">
        <v>3179</v>
      </c>
      <c r="BT243" t="str">
        <f>HYPERLINK("https%3A%2F%2Fwww.webofscience.com%2Fwos%2Fwoscc%2Ffull-record%2FWOS:000079713100042","View Full Record in Web of Science")</f>
        <v>View Full Record in Web of Science</v>
      </c>
    </row>
    <row r="244" spans="1:72" x14ac:dyDescent="0.15">
      <c r="A244" t="s">
        <v>1540</v>
      </c>
      <c r="B244" t="s">
        <v>3180</v>
      </c>
      <c r="C244" t="s">
        <v>74</v>
      </c>
      <c r="D244" t="s">
        <v>2810</v>
      </c>
      <c r="E244" t="s">
        <v>74</v>
      </c>
      <c r="F244" t="s">
        <v>3180</v>
      </c>
      <c r="G244" t="s">
        <v>74</v>
      </c>
      <c r="H244" t="s">
        <v>74</v>
      </c>
      <c r="I244" t="s">
        <v>3181</v>
      </c>
      <c r="J244" t="s">
        <v>2812</v>
      </c>
      <c r="K244" t="s">
        <v>2774</v>
      </c>
      <c r="L244" t="s">
        <v>74</v>
      </c>
      <c r="M244" t="s">
        <v>77</v>
      </c>
      <c r="N244" t="s">
        <v>379</v>
      </c>
      <c r="O244" t="s">
        <v>2814</v>
      </c>
      <c r="P244" t="s">
        <v>2815</v>
      </c>
      <c r="Q244" t="s">
        <v>2816</v>
      </c>
      <c r="R244" t="s">
        <v>74</v>
      </c>
      <c r="S244" t="s">
        <v>74</v>
      </c>
      <c r="T244" t="s">
        <v>74</v>
      </c>
      <c r="U244" t="s">
        <v>3182</v>
      </c>
      <c r="V244" t="s">
        <v>3183</v>
      </c>
      <c r="W244" t="s">
        <v>3184</v>
      </c>
      <c r="X244" t="s">
        <v>3185</v>
      </c>
      <c r="Y244" t="s">
        <v>3186</v>
      </c>
      <c r="Z244" t="s">
        <v>74</v>
      </c>
      <c r="AA244" t="s">
        <v>3187</v>
      </c>
      <c r="AB244" t="s">
        <v>3188</v>
      </c>
      <c r="AC244" t="s">
        <v>74</v>
      </c>
      <c r="AD244" t="s">
        <v>74</v>
      </c>
      <c r="AE244" t="s">
        <v>74</v>
      </c>
      <c r="AF244" t="s">
        <v>74</v>
      </c>
      <c r="AG244">
        <v>25</v>
      </c>
      <c r="AH244">
        <v>9</v>
      </c>
      <c r="AI244">
        <v>9</v>
      </c>
      <c r="AJ244">
        <v>0</v>
      </c>
      <c r="AK244">
        <v>2</v>
      </c>
      <c r="AL244" t="s">
        <v>2783</v>
      </c>
      <c r="AM244" t="s">
        <v>115</v>
      </c>
      <c r="AN244" t="s">
        <v>2856</v>
      </c>
      <c r="AO244" t="s">
        <v>2785</v>
      </c>
      <c r="AP244" t="s">
        <v>74</v>
      </c>
      <c r="AQ244" t="s">
        <v>2824</v>
      </c>
      <c r="AR244" t="s">
        <v>2787</v>
      </c>
      <c r="AS244" t="s">
        <v>74</v>
      </c>
      <c r="AT244" t="s">
        <v>74</v>
      </c>
      <c r="AU244">
        <v>1998</v>
      </c>
      <c r="AV244">
        <v>27</v>
      </c>
      <c r="AW244" t="s">
        <v>74</v>
      </c>
      <c r="AX244" t="s">
        <v>74</v>
      </c>
      <c r="AY244" t="s">
        <v>74</v>
      </c>
      <c r="AZ244" t="s">
        <v>74</v>
      </c>
      <c r="BA244" t="s">
        <v>74</v>
      </c>
      <c r="BB244">
        <v>268</v>
      </c>
      <c r="BC244">
        <v>274</v>
      </c>
      <c r="BD244" t="s">
        <v>74</v>
      </c>
      <c r="BE244" t="s">
        <v>74</v>
      </c>
      <c r="BF244" t="s">
        <v>74</v>
      </c>
      <c r="BG244" t="s">
        <v>74</v>
      </c>
      <c r="BH244" t="s">
        <v>74</v>
      </c>
      <c r="BI244">
        <v>7</v>
      </c>
      <c r="BJ244" t="s">
        <v>2826</v>
      </c>
      <c r="BK244" t="s">
        <v>397</v>
      </c>
      <c r="BL244" t="s">
        <v>2827</v>
      </c>
      <c r="BM244" t="s">
        <v>2828</v>
      </c>
      <c r="BN244" t="s">
        <v>74</v>
      </c>
      <c r="BO244" t="s">
        <v>74</v>
      </c>
      <c r="BP244" t="s">
        <v>74</v>
      </c>
      <c r="BQ244" t="s">
        <v>74</v>
      </c>
      <c r="BR244" t="s">
        <v>101</v>
      </c>
      <c r="BS244" t="s">
        <v>3189</v>
      </c>
      <c r="BT244" t="str">
        <f>HYPERLINK("https%3A%2F%2Fwww.webofscience.com%2Fwos%2Fwoscc%2Ffull-record%2FWOS:000079713100043","View Full Record in Web of Science")</f>
        <v>View Full Record in Web of Science</v>
      </c>
    </row>
    <row r="245" spans="1:72" x14ac:dyDescent="0.15">
      <c r="A245" t="s">
        <v>1540</v>
      </c>
      <c r="B245" t="s">
        <v>3190</v>
      </c>
      <c r="C245" t="s">
        <v>74</v>
      </c>
      <c r="D245" t="s">
        <v>2810</v>
      </c>
      <c r="E245" t="s">
        <v>74</v>
      </c>
      <c r="F245" t="s">
        <v>3190</v>
      </c>
      <c r="G245" t="s">
        <v>74</v>
      </c>
      <c r="H245" t="s">
        <v>74</v>
      </c>
      <c r="I245" t="s">
        <v>3191</v>
      </c>
      <c r="J245" t="s">
        <v>2812</v>
      </c>
      <c r="K245" t="s">
        <v>2774</v>
      </c>
      <c r="L245" t="s">
        <v>74</v>
      </c>
      <c r="M245" t="s">
        <v>77</v>
      </c>
      <c r="N245" t="s">
        <v>379</v>
      </c>
      <c r="O245" t="s">
        <v>2814</v>
      </c>
      <c r="P245" t="s">
        <v>2815</v>
      </c>
      <c r="Q245" t="s">
        <v>2816</v>
      </c>
      <c r="R245" t="s">
        <v>74</v>
      </c>
      <c r="S245" t="s">
        <v>74</v>
      </c>
      <c r="T245" t="s">
        <v>74</v>
      </c>
      <c r="U245" t="s">
        <v>3192</v>
      </c>
      <c r="V245" t="s">
        <v>3193</v>
      </c>
      <c r="W245" t="s">
        <v>3194</v>
      </c>
      <c r="X245" t="s">
        <v>74</v>
      </c>
      <c r="Y245" t="s">
        <v>3195</v>
      </c>
      <c r="Z245" t="s">
        <v>74</v>
      </c>
      <c r="AA245" t="s">
        <v>74</v>
      </c>
      <c r="AB245" t="s">
        <v>74</v>
      </c>
      <c r="AC245" t="s">
        <v>74</v>
      </c>
      <c r="AD245" t="s">
        <v>74</v>
      </c>
      <c r="AE245" t="s">
        <v>74</v>
      </c>
      <c r="AF245" t="s">
        <v>74</v>
      </c>
      <c r="AG245">
        <v>15</v>
      </c>
      <c r="AH245">
        <v>9</v>
      </c>
      <c r="AI245">
        <v>10</v>
      </c>
      <c r="AJ245">
        <v>0</v>
      </c>
      <c r="AK245">
        <v>1</v>
      </c>
      <c r="AL245" t="s">
        <v>2783</v>
      </c>
      <c r="AM245" t="s">
        <v>115</v>
      </c>
      <c r="AN245" t="s">
        <v>2856</v>
      </c>
      <c r="AO245" t="s">
        <v>2785</v>
      </c>
      <c r="AP245" t="s">
        <v>74</v>
      </c>
      <c r="AQ245" t="s">
        <v>2824</v>
      </c>
      <c r="AR245" t="s">
        <v>2787</v>
      </c>
      <c r="AS245" t="s">
        <v>74</v>
      </c>
      <c r="AT245" t="s">
        <v>74</v>
      </c>
      <c r="AU245">
        <v>1998</v>
      </c>
      <c r="AV245">
        <v>27</v>
      </c>
      <c r="AW245" t="s">
        <v>74</v>
      </c>
      <c r="AX245" t="s">
        <v>74</v>
      </c>
      <c r="AY245" t="s">
        <v>74</v>
      </c>
      <c r="AZ245" t="s">
        <v>74</v>
      </c>
      <c r="BA245" t="s">
        <v>74</v>
      </c>
      <c r="BB245">
        <v>275</v>
      </c>
      <c r="BC245">
        <v>280</v>
      </c>
      <c r="BD245" t="s">
        <v>74</v>
      </c>
      <c r="BE245" t="s">
        <v>74</v>
      </c>
      <c r="BF245" t="s">
        <v>74</v>
      </c>
      <c r="BG245" t="s">
        <v>74</v>
      </c>
      <c r="BH245" t="s">
        <v>74</v>
      </c>
      <c r="BI245">
        <v>6</v>
      </c>
      <c r="BJ245" t="s">
        <v>2826</v>
      </c>
      <c r="BK245" t="s">
        <v>397</v>
      </c>
      <c r="BL245" t="s">
        <v>2827</v>
      </c>
      <c r="BM245" t="s">
        <v>2828</v>
      </c>
      <c r="BN245" t="s">
        <v>74</v>
      </c>
      <c r="BO245" t="s">
        <v>74</v>
      </c>
      <c r="BP245" t="s">
        <v>74</v>
      </c>
      <c r="BQ245" t="s">
        <v>74</v>
      </c>
      <c r="BR245" t="s">
        <v>101</v>
      </c>
      <c r="BS245" t="s">
        <v>3196</v>
      </c>
      <c r="BT245" t="str">
        <f>HYPERLINK("https%3A%2F%2Fwww.webofscience.com%2Fwos%2Fwoscc%2Ffull-record%2FWOS:000079713100044","View Full Record in Web of Science")</f>
        <v>View Full Record in Web of Science</v>
      </c>
    </row>
    <row r="246" spans="1:72" x14ac:dyDescent="0.15">
      <c r="A246" t="s">
        <v>1540</v>
      </c>
      <c r="B246" t="s">
        <v>3197</v>
      </c>
      <c r="C246" t="s">
        <v>74</v>
      </c>
      <c r="D246" t="s">
        <v>2810</v>
      </c>
      <c r="E246" t="s">
        <v>74</v>
      </c>
      <c r="F246" t="s">
        <v>3197</v>
      </c>
      <c r="G246" t="s">
        <v>74</v>
      </c>
      <c r="H246" t="s">
        <v>74</v>
      </c>
      <c r="I246" t="s">
        <v>3198</v>
      </c>
      <c r="J246" t="s">
        <v>2812</v>
      </c>
      <c r="K246" t="s">
        <v>2774</v>
      </c>
      <c r="L246" t="s">
        <v>74</v>
      </c>
      <c r="M246" t="s">
        <v>77</v>
      </c>
      <c r="N246" t="s">
        <v>379</v>
      </c>
      <c r="O246" t="s">
        <v>2814</v>
      </c>
      <c r="P246" t="s">
        <v>2815</v>
      </c>
      <c r="Q246" t="s">
        <v>2816</v>
      </c>
      <c r="R246" t="s">
        <v>74</v>
      </c>
      <c r="S246" t="s">
        <v>74</v>
      </c>
      <c r="T246" t="s">
        <v>74</v>
      </c>
      <c r="U246" t="s">
        <v>3199</v>
      </c>
      <c r="V246" t="s">
        <v>3200</v>
      </c>
      <c r="W246" t="s">
        <v>3201</v>
      </c>
      <c r="X246" t="s">
        <v>3202</v>
      </c>
      <c r="Y246" t="s">
        <v>3203</v>
      </c>
      <c r="Z246" t="s">
        <v>74</v>
      </c>
      <c r="AA246" t="s">
        <v>3204</v>
      </c>
      <c r="AB246" t="s">
        <v>74</v>
      </c>
      <c r="AC246" t="s">
        <v>74</v>
      </c>
      <c r="AD246" t="s">
        <v>74</v>
      </c>
      <c r="AE246" t="s">
        <v>74</v>
      </c>
      <c r="AF246" t="s">
        <v>74</v>
      </c>
      <c r="AG246">
        <v>21</v>
      </c>
      <c r="AH246">
        <v>65</v>
      </c>
      <c r="AI246">
        <v>71</v>
      </c>
      <c r="AJ246">
        <v>0</v>
      </c>
      <c r="AK246">
        <v>10</v>
      </c>
      <c r="AL246" t="s">
        <v>2783</v>
      </c>
      <c r="AM246" t="s">
        <v>115</v>
      </c>
      <c r="AN246" t="s">
        <v>2856</v>
      </c>
      <c r="AO246" t="s">
        <v>2785</v>
      </c>
      <c r="AP246" t="s">
        <v>74</v>
      </c>
      <c r="AQ246" t="s">
        <v>2824</v>
      </c>
      <c r="AR246" t="s">
        <v>2787</v>
      </c>
      <c r="AS246" t="s">
        <v>74</v>
      </c>
      <c r="AT246" t="s">
        <v>74</v>
      </c>
      <c r="AU246">
        <v>1998</v>
      </c>
      <c r="AV246">
        <v>27</v>
      </c>
      <c r="AW246" t="s">
        <v>74</v>
      </c>
      <c r="AX246" t="s">
        <v>74</v>
      </c>
      <c r="AY246" t="s">
        <v>74</v>
      </c>
      <c r="AZ246" t="s">
        <v>74</v>
      </c>
      <c r="BA246" t="s">
        <v>74</v>
      </c>
      <c r="BB246">
        <v>281</v>
      </c>
      <c r="BC246">
        <v>284</v>
      </c>
      <c r="BD246" t="s">
        <v>74</v>
      </c>
      <c r="BE246" t="s">
        <v>74</v>
      </c>
      <c r="BF246" t="s">
        <v>74</v>
      </c>
      <c r="BG246" t="s">
        <v>74</v>
      </c>
      <c r="BH246" t="s">
        <v>74</v>
      </c>
      <c r="BI246">
        <v>4</v>
      </c>
      <c r="BJ246" t="s">
        <v>2826</v>
      </c>
      <c r="BK246" t="s">
        <v>397</v>
      </c>
      <c r="BL246" t="s">
        <v>2827</v>
      </c>
      <c r="BM246" t="s">
        <v>2828</v>
      </c>
      <c r="BN246" t="s">
        <v>74</v>
      </c>
      <c r="BO246" t="s">
        <v>74</v>
      </c>
      <c r="BP246" t="s">
        <v>74</v>
      </c>
      <c r="BQ246" t="s">
        <v>74</v>
      </c>
      <c r="BR246" t="s">
        <v>101</v>
      </c>
      <c r="BS246" t="s">
        <v>3205</v>
      </c>
      <c r="BT246" t="str">
        <f>HYPERLINK("https%3A%2F%2Fwww.webofscience.com%2Fwos%2Fwoscc%2Ffull-record%2FWOS:000079713100045","View Full Record in Web of Science")</f>
        <v>View Full Record in Web of Science</v>
      </c>
    </row>
    <row r="247" spans="1:72" x14ac:dyDescent="0.15">
      <c r="A247" t="s">
        <v>1540</v>
      </c>
      <c r="B247" t="s">
        <v>3206</v>
      </c>
      <c r="C247" t="s">
        <v>74</v>
      </c>
      <c r="D247" t="s">
        <v>2810</v>
      </c>
      <c r="E247" t="s">
        <v>74</v>
      </c>
      <c r="F247" t="s">
        <v>3206</v>
      </c>
      <c r="G247" t="s">
        <v>74</v>
      </c>
      <c r="H247" t="s">
        <v>74</v>
      </c>
      <c r="I247" t="s">
        <v>3207</v>
      </c>
      <c r="J247" t="s">
        <v>2812</v>
      </c>
      <c r="K247" t="s">
        <v>2774</v>
      </c>
      <c r="L247" t="s">
        <v>74</v>
      </c>
      <c r="M247" t="s">
        <v>77</v>
      </c>
      <c r="N247" t="s">
        <v>379</v>
      </c>
      <c r="O247" t="s">
        <v>2814</v>
      </c>
      <c r="P247" t="s">
        <v>2815</v>
      </c>
      <c r="Q247" t="s">
        <v>2816</v>
      </c>
      <c r="R247" t="s">
        <v>74</v>
      </c>
      <c r="S247" t="s">
        <v>74</v>
      </c>
      <c r="T247" t="s">
        <v>74</v>
      </c>
      <c r="U247" t="s">
        <v>3208</v>
      </c>
      <c r="V247" t="s">
        <v>3209</v>
      </c>
      <c r="W247" t="s">
        <v>3210</v>
      </c>
      <c r="X247" t="s">
        <v>3211</v>
      </c>
      <c r="Y247" t="s">
        <v>3212</v>
      </c>
      <c r="Z247" t="s">
        <v>74</v>
      </c>
      <c r="AA247" t="s">
        <v>3213</v>
      </c>
      <c r="AB247" t="s">
        <v>3214</v>
      </c>
      <c r="AC247" t="s">
        <v>74</v>
      </c>
      <c r="AD247" t="s">
        <v>74</v>
      </c>
      <c r="AE247" t="s">
        <v>74</v>
      </c>
      <c r="AF247" t="s">
        <v>74</v>
      </c>
      <c r="AG247">
        <v>18</v>
      </c>
      <c r="AH247">
        <v>33</v>
      </c>
      <c r="AI247">
        <v>35</v>
      </c>
      <c r="AJ247">
        <v>0</v>
      </c>
      <c r="AK247">
        <v>2</v>
      </c>
      <c r="AL247" t="s">
        <v>2783</v>
      </c>
      <c r="AM247" t="s">
        <v>115</v>
      </c>
      <c r="AN247" t="s">
        <v>2856</v>
      </c>
      <c r="AO247" t="s">
        <v>2785</v>
      </c>
      <c r="AP247" t="s">
        <v>74</v>
      </c>
      <c r="AQ247" t="s">
        <v>2824</v>
      </c>
      <c r="AR247" t="s">
        <v>2787</v>
      </c>
      <c r="AS247" t="s">
        <v>74</v>
      </c>
      <c r="AT247" t="s">
        <v>74</v>
      </c>
      <c r="AU247">
        <v>1998</v>
      </c>
      <c r="AV247">
        <v>27</v>
      </c>
      <c r="AW247" t="s">
        <v>74</v>
      </c>
      <c r="AX247" t="s">
        <v>74</v>
      </c>
      <c r="AY247" t="s">
        <v>74</v>
      </c>
      <c r="AZ247" t="s">
        <v>74</v>
      </c>
      <c r="BA247" t="s">
        <v>74</v>
      </c>
      <c r="BB247">
        <v>285</v>
      </c>
      <c r="BC247">
        <v>289</v>
      </c>
      <c r="BD247" t="s">
        <v>74</v>
      </c>
      <c r="BE247" t="s">
        <v>74</v>
      </c>
      <c r="BF247" t="s">
        <v>74</v>
      </c>
      <c r="BG247" t="s">
        <v>74</v>
      </c>
      <c r="BH247" t="s">
        <v>74</v>
      </c>
      <c r="BI247">
        <v>5</v>
      </c>
      <c r="BJ247" t="s">
        <v>2826</v>
      </c>
      <c r="BK247" t="s">
        <v>397</v>
      </c>
      <c r="BL247" t="s">
        <v>2827</v>
      </c>
      <c r="BM247" t="s">
        <v>2828</v>
      </c>
      <c r="BN247" t="s">
        <v>74</v>
      </c>
      <c r="BO247" t="s">
        <v>74</v>
      </c>
      <c r="BP247" t="s">
        <v>74</v>
      </c>
      <c r="BQ247" t="s">
        <v>74</v>
      </c>
      <c r="BR247" t="s">
        <v>101</v>
      </c>
      <c r="BS247" t="s">
        <v>3215</v>
      </c>
      <c r="BT247" t="str">
        <f>HYPERLINK("https%3A%2F%2Fwww.webofscience.com%2Fwos%2Fwoscc%2Ffull-record%2FWOS:000079713100046","View Full Record in Web of Science")</f>
        <v>View Full Record in Web of Science</v>
      </c>
    </row>
    <row r="248" spans="1:72" x14ac:dyDescent="0.15">
      <c r="A248" t="s">
        <v>1540</v>
      </c>
      <c r="B248" t="s">
        <v>3216</v>
      </c>
      <c r="C248" t="s">
        <v>74</v>
      </c>
      <c r="D248" t="s">
        <v>2810</v>
      </c>
      <c r="E248" t="s">
        <v>74</v>
      </c>
      <c r="F248" t="s">
        <v>3216</v>
      </c>
      <c r="G248" t="s">
        <v>74</v>
      </c>
      <c r="H248" t="s">
        <v>74</v>
      </c>
      <c r="I248" t="s">
        <v>3217</v>
      </c>
      <c r="J248" t="s">
        <v>2812</v>
      </c>
      <c r="K248" t="s">
        <v>2813</v>
      </c>
      <c r="L248" t="s">
        <v>74</v>
      </c>
      <c r="M248" t="s">
        <v>77</v>
      </c>
      <c r="N248" t="s">
        <v>379</v>
      </c>
      <c r="O248" t="s">
        <v>2814</v>
      </c>
      <c r="P248" t="s">
        <v>2815</v>
      </c>
      <c r="Q248" t="s">
        <v>2816</v>
      </c>
      <c r="R248" t="s">
        <v>74</v>
      </c>
      <c r="S248" t="s">
        <v>74</v>
      </c>
      <c r="T248" t="s">
        <v>74</v>
      </c>
      <c r="U248" t="s">
        <v>3218</v>
      </c>
      <c r="V248" t="s">
        <v>3219</v>
      </c>
      <c r="W248" t="s">
        <v>3220</v>
      </c>
      <c r="X248" t="s">
        <v>3221</v>
      </c>
      <c r="Y248" t="s">
        <v>3222</v>
      </c>
      <c r="Z248" t="s">
        <v>74</v>
      </c>
      <c r="AA248" t="s">
        <v>3223</v>
      </c>
      <c r="AB248" t="s">
        <v>3224</v>
      </c>
      <c r="AC248" t="s">
        <v>74</v>
      </c>
      <c r="AD248" t="s">
        <v>74</v>
      </c>
      <c r="AE248" t="s">
        <v>74</v>
      </c>
      <c r="AF248" t="s">
        <v>74</v>
      </c>
      <c r="AG248">
        <v>29</v>
      </c>
      <c r="AH248">
        <v>3</v>
      </c>
      <c r="AI248">
        <v>3</v>
      </c>
      <c r="AJ248">
        <v>1</v>
      </c>
      <c r="AK248">
        <v>3</v>
      </c>
      <c r="AL248" t="s">
        <v>2783</v>
      </c>
      <c r="AM248" t="s">
        <v>115</v>
      </c>
      <c r="AN248" t="s">
        <v>2784</v>
      </c>
      <c r="AO248" t="s">
        <v>2785</v>
      </c>
      <c r="AP248" t="s">
        <v>74</v>
      </c>
      <c r="AQ248" t="s">
        <v>2824</v>
      </c>
      <c r="AR248" t="s">
        <v>2825</v>
      </c>
      <c r="AS248" t="s">
        <v>74</v>
      </c>
      <c r="AT248" t="s">
        <v>74</v>
      </c>
      <c r="AU248">
        <v>1998</v>
      </c>
      <c r="AV248">
        <v>27</v>
      </c>
      <c r="AW248" t="s">
        <v>74</v>
      </c>
      <c r="AX248" t="s">
        <v>74</v>
      </c>
      <c r="AY248" t="s">
        <v>74</v>
      </c>
      <c r="AZ248" t="s">
        <v>74</v>
      </c>
      <c r="BA248" t="s">
        <v>74</v>
      </c>
      <c r="BB248">
        <v>290</v>
      </c>
      <c r="BC248">
        <v>296</v>
      </c>
      <c r="BD248" t="s">
        <v>74</v>
      </c>
      <c r="BE248" t="s">
        <v>74</v>
      </c>
      <c r="BF248" t="s">
        <v>74</v>
      </c>
      <c r="BG248" t="s">
        <v>74</v>
      </c>
      <c r="BH248" t="s">
        <v>74</v>
      </c>
      <c r="BI248">
        <v>7</v>
      </c>
      <c r="BJ248" t="s">
        <v>2826</v>
      </c>
      <c r="BK248" t="s">
        <v>397</v>
      </c>
      <c r="BL248" t="s">
        <v>2827</v>
      </c>
      <c r="BM248" t="s">
        <v>2828</v>
      </c>
      <c r="BN248" t="s">
        <v>74</v>
      </c>
      <c r="BO248" t="s">
        <v>74</v>
      </c>
      <c r="BP248" t="s">
        <v>74</v>
      </c>
      <c r="BQ248" t="s">
        <v>74</v>
      </c>
      <c r="BR248" t="s">
        <v>101</v>
      </c>
      <c r="BS248" t="s">
        <v>3225</v>
      </c>
      <c r="BT248" t="str">
        <f>HYPERLINK("https%3A%2F%2Fwww.webofscience.com%2Fwos%2Fwoscc%2Ffull-record%2FWOS:000079713100047","View Full Record in Web of Science")</f>
        <v>View Full Record in Web of Science</v>
      </c>
    </row>
    <row r="249" spans="1:72" x14ac:dyDescent="0.15">
      <c r="A249" t="s">
        <v>1540</v>
      </c>
      <c r="B249" t="s">
        <v>3226</v>
      </c>
      <c r="C249" t="s">
        <v>74</v>
      </c>
      <c r="D249" t="s">
        <v>2810</v>
      </c>
      <c r="E249" t="s">
        <v>74</v>
      </c>
      <c r="F249" t="s">
        <v>3226</v>
      </c>
      <c r="G249" t="s">
        <v>74</v>
      </c>
      <c r="H249" t="s">
        <v>74</v>
      </c>
      <c r="I249" t="s">
        <v>3227</v>
      </c>
      <c r="J249" t="s">
        <v>2812</v>
      </c>
      <c r="K249" t="s">
        <v>2774</v>
      </c>
      <c r="L249" t="s">
        <v>74</v>
      </c>
      <c r="M249" t="s">
        <v>77</v>
      </c>
      <c r="N249" t="s">
        <v>379</v>
      </c>
      <c r="O249" t="s">
        <v>2814</v>
      </c>
      <c r="P249" t="s">
        <v>2815</v>
      </c>
      <c r="Q249" t="s">
        <v>2816</v>
      </c>
      <c r="R249" t="s">
        <v>74</v>
      </c>
      <c r="S249" t="s">
        <v>74</v>
      </c>
      <c r="T249" t="s">
        <v>74</v>
      </c>
      <c r="U249" t="s">
        <v>3228</v>
      </c>
      <c r="V249" t="s">
        <v>3229</v>
      </c>
      <c r="W249" t="s">
        <v>3230</v>
      </c>
      <c r="X249" t="s">
        <v>3231</v>
      </c>
      <c r="Y249" t="s">
        <v>3232</v>
      </c>
      <c r="Z249" t="s">
        <v>74</v>
      </c>
      <c r="AA249" t="s">
        <v>74</v>
      </c>
      <c r="AB249" t="s">
        <v>74</v>
      </c>
      <c r="AC249" t="s">
        <v>74</v>
      </c>
      <c r="AD249" t="s">
        <v>74</v>
      </c>
      <c r="AE249" t="s">
        <v>74</v>
      </c>
      <c r="AF249" t="s">
        <v>74</v>
      </c>
      <c r="AG249">
        <v>14</v>
      </c>
      <c r="AH249">
        <v>20</v>
      </c>
      <c r="AI249">
        <v>22</v>
      </c>
      <c r="AJ249">
        <v>0</v>
      </c>
      <c r="AK249">
        <v>1</v>
      </c>
      <c r="AL249" t="s">
        <v>2783</v>
      </c>
      <c r="AM249" t="s">
        <v>115</v>
      </c>
      <c r="AN249" t="s">
        <v>2856</v>
      </c>
      <c r="AO249" t="s">
        <v>2785</v>
      </c>
      <c r="AP249" t="s">
        <v>74</v>
      </c>
      <c r="AQ249" t="s">
        <v>2824</v>
      </c>
      <c r="AR249" t="s">
        <v>2787</v>
      </c>
      <c r="AS249" t="s">
        <v>74</v>
      </c>
      <c r="AT249" t="s">
        <v>74</v>
      </c>
      <c r="AU249">
        <v>1998</v>
      </c>
      <c r="AV249">
        <v>27</v>
      </c>
      <c r="AW249" t="s">
        <v>74</v>
      </c>
      <c r="AX249" t="s">
        <v>74</v>
      </c>
      <c r="AY249" t="s">
        <v>74</v>
      </c>
      <c r="AZ249" t="s">
        <v>74</v>
      </c>
      <c r="BA249" t="s">
        <v>74</v>
      </c>
      <c r="BB249">
        <v>297</v>
      </c>
      <c r="BC249">
        <v>301</v>
      </c>
      <c r="BD249" t="s">
        <v>74</v>
      </c>
      <c r="BE249" t="s">
        <v>74</v>
      </c>
      <c r="BF249" t="s">
        <v>74</v>
      </c>
      <c r="BG249" t="s">
        <v>74</v>
      </c>
      <c r="BH249" t="s">
        <v>74</v>
      </c>
      <c r="BI249">
        <v>5</v>
      </c>
      <c r="BJ249" t="s">
        <v>2826</v>
      </c>
      <c r="BK249" t="s">
        <v>397</v>
      </c>
      <c r="BL249" t="s">
        <v>2827</v>
      </c>
      <c r="BM249" t="s">
        <v>2828</v>
      </c>
      <c r="BN249" t="s">
        <v>74</v>
      </c>
      <c r="BO249" t="s">
        <v>74</v>
      </c>
      <c r="BP249" t="s">
        <v>74</v>
      </c>
      <c r="BQ249" t="s">
        <v>74</v>
      </c>
      <c r="BR249" t="s">
        <v>101</v>
      </c>
      <c r="BS249" t="s">
        <v>3233</v>
      </c>
      <c r="BT249" t="str">
        <f>HYPERLINK("https%3A%2F%2Fwww.webofscience.com%2Fwos%2Fwoscc%2Ffull-record%2FWOS:000079713100048","View Full Record in Web of Science")</f>
        <v>View Full Record in Web of Science</v>
      </c>
    </row>
    <row r="250" spans="1:72" x14ac:dyDescent="0.15">
      <c r="A250" t="s">
        <v>1540</v>
      </c>
      <c r="B250" t="s">
        <v>3234</v>
      </c>
      <c r="C250" t="s">
        <v>74</v>
      </c>
      <c r="D250" t="s">
        <v>2810</v>
      </c>
      <c r="E250" t="s">
        <v>74</v>
      </c>
      <c r="F250" t="s">
        <v>3234</v>
      </c>
      <c r="G250" t="s">
        <v>74</v>
      </c>
      <c r="H250" t="s">
        <v>74</v>
      </c>
      <c r="I250" t="s">
        <v>3235</v>
      </c>
      <c r="J250" t="s">
        <v>2812</v>
      </c>
      <c r="K250" t="s">
        <v>2774</v>
      </c>
      <c r="L250" t="s">
        <v>74</v>
      </c>
      <c r="M250" t="s">
        <v>77</v>
      </c>
      <c r="N250" t="s">
        <v>379</v>
      </c>
      <c r="O250" t="s">
        <v>2814</v>
      </c>
      <c r="P250" t="s">
        <v>2815</v>
      </c>
      <c r="Q250" t="s">
        <v>2816</v>
      </c>
      <c r="R250" t="s">
        <v>74</v>
      </c>
      <c r="S250" t="s">
        <v>74</v>
      </c>
      <c r="T250" t="s">
        <v>74</v>
      </c>
      <c r="U250" t="s">
        <v>3236</v>
      </c>
      <c r="V250" t="s">
        <v>3237</v>
      </c>
      <c r="W250" t="s">
        <v>3238</v>
      </c>
      <c r="X250" t="s">
        <v>3239</v>
      </c>
      <c r="Y250" t="s">
        <v>3240</v>
      </c>
      <c r="Z250" t="s">
        <v>74</v>
      </c>
      <c r="AA250" t="s">
        <v>74</v>
      </c>
      <c r="AB250" t="s">
        <v>1575</v>
      </c>
      <c r="AC250" t="s">
        <v>74</v>
      </c>
      <c r="AD250" t="s">
        <v>74</v>
      </c>
      <c r="AE250" t="s">
        <v>74</v>
      </c>
      <c r="AF250" t="s">
        <v>74</v>
      </c>
      <c r="AG250">
        <v>15</v>
      </c>
      <c r="AH250">
        <v>13</v>
      </c>
      <c r="AI250">
        <v>13</v>
      </c>
      <c r="AJ250">
        <v>1</v>
      </c>
      <c r="AK250">
        <v>4</v>
      </c>
      <c r="AL250" t="s">
        <v>2783</v>
      </c>
      <c r="AM250" t="s">
        <v>115</v>
      </c>
      <c r="AN250" t="s">
        <v>2856</v>
      </c>
      <c r="AO250" t="s">
        <v>2785</v>
      </c>
      <c r="AP250" t="s">
        <v>74</v>
      </c>
      <c r="AQ250" t="s">
        <v>2824</v>
      </c>
      <c r="AR250" t="s">
        <v>2787</v>
      </c>
      <c r="AS250" t="s">
        <v>74</v>
      </c>
      <c r="AT250" t="s">
        <v>74</v>
      </c>
      <c r="AU250">
        <v>1998</v>
      </c>
      <c r="AV250">
        <v>27</v>
      </c>
      <c r="AW250" t="s">
        <v>74</v>
      </c>
      <c r="AX250" t="s">
        <v>74</v>
      </c>
      <c r="AY250" t="s">
        <v>74</v>
      </c>
      <c r="AZ250" t="s">
        <v>74</v>
      </c>
      <c r="BA250" t="s">
        <v>74</v>
      </c>
      <c r="BB250">
        <v>302</v>
      </c>
      <c r="BC250">
        <v>304</v>
      </c>
      <c r="BD250" t="s">
        <v>74</v>
      </c>
      <c r="BE250" t="s">
        <v>74</v>
      </c>
      <c r="BF250" t="s">
        <v>74</v>
      </c>
      <c r="BG250" t="s">
        <v>74</v>
      </c>
      <c r="BH250" t="s">
        <v>74</v>
      </c>
      <c r="BI250">
        <v>3</v>
      </c>
      <c r="BJ250" t="s">
        <v>2826</v>
      </c>
      <c r="BK250" t="s">
        <v>397</v>
      </c>
      <c r="BL250" t="s">
        <v>2827</v>
      </c>
      <c r="BM250" t="s">
        <v>2828</v>
      </c>
      <c r="BN250" t="s">
        <v>74</v>
      </c>
      <c r="BO250" t="s">
        <v>74</v>
      </c>
      <c r="BP250" t="s">
        <v>74</v>
      </c>
      <c r="BQ250" t="s">
        <v>74</v>
      </c>
      <c r="BR250" t="s">
        <v>101</v>
      </c>
      <c r="BS250" t="s">
        <v>3241</v>
      </c>
      <c r="BT250" t="str">
        <f>HYPERLINK("https%3A%2F%2Fwww.webofscience.com%2Fwos%2Fwoscc%2Ffull-record%2FWOS:000079713100049","View Full Record in Web of Science")</f>
        <v>View Full Record in Web of Science</v>
      </c>
    </row>
    <row r="251" spans="1:72" x14ac:dyDescent="0.15">
      <c r="A251" t="s">
        <v>1540</v>
      </c>
      <c r="B251" t="s">
        <v>3242</v>
      </c>
      <c r="C251" t="s">
        <v>74</v>
      </c>
      <c r="D251" t="s">
        <v>2810</v>
      </c>
      <c r="E251" t="s">
        <v>74</v>
      </c>
      <c r="F251" t="s">
        <v>3242</v>
      </c>
      <c r="G251" t="s">
        <v>74</v>
      </c>
      <c r="H251" t="s">
        <v>74</v>
      </c>
      <c r="I251" t="s">
        <v>3243</v>
      </c>
      <c r="J251" t="s">
        <v>2812</v>
      </c>
      <c r="K251" t="s">
        <v>2774</v>
      </c>
      <c r="L251" t="s">
        <v>74</v>
      </c>
      <c r="M251" t="s">
        <v>77</v>
      </c>
      <c r="N251" t="s">
        <v>379</v>
      </c>
      <c r="O251" t="s">
        <v>2814</v>
      </c>
      <c r="P251" t="s">
        <v>2815</v>
      </c>
      <c r="Q251" t="s">
        <v>2816</v>
      </c>
      <c r="R251" t="s">
        <v>74</v>
      </c>
      <c r="S251" t="s">
        <v>74</v>
      </c>
      <c r="T251" t="s">
        <v>74</v>
      </c>
      <c r="U251" t="s">
        <v>3244</v>
      </c>
      <c r="V251" t="s">
        <v>3245</v>
      </c>
      <c r="W251" t="s">
        <v>3246</v>
      </c>
      <c r="X251" t="s">
        <v>3247</v>
      </c>
      <c r="Y251" t="s">
        <v>3248</v>
      </c>
      <c r="Z251" t="s">
        <v>74</v>
      </c>
      <c r="AA251" t="s">
        <v>3249</v>
      </c>
      <c r="AB251" t="s">
        <v>3250</v>
      </c>
      <c r="AC251" t="s">
        <v>74</v>
      </c>
      <c r="AD251" t="s">
        <v>74</v>
      </c>
      <c r="AE251" t="s">
        <v>74</v>
      </c>
      <c r="AF251" t="s">
        <v>74</v>
      </c>
      <c r="AG251">
        <v>62</v>
      </c>
      <c r="AH251">
        <v>56</v>
      </c>
      <c r="AI251">
        <v>66</v>
      </c>
      <c r="AJ251">
        <v>0</v>
      </c>
      <c r="AK251">
        <v>9</v>
      </c>
      <c r="AL251" t="s">
        <v>2783</v>
      </c>
      <c r="AM251" t="s">
        <v>115</v>
      </c>
      <c r="AN251" t="s">
        <v>2856</v>
      </c>
      <c r="AO251" t="s">
        <v>2785</v>
      </c>
      <c r="AP251" t="s">
        <v>74</v>
      </c>
      <c r="AQ251" t="s">
        <v>2824</v>
      </c>
      <c r="AR251" t="s">
        <v>2787</v>
      </c>
      <c r="AS251" t="s">
        <v>74</v>
      </c>
      <c r="AT251" t="s">
        <v>74</v>
      </c>
      <c r="AU251">
        <v>1998</v>
      </c>
      <c r="AV251">
        <v>27</v>
      </c>
      <c r="AW251" t="s">
        <v>74</v>
      </c>
      <c r="AX251" t="s">
        <v>74</v>
      </c>
      <c r="AY251" t="s">
        <v>74</v>
      </c>
      <c r="AZ251" t="s">
        <v>74</v>
      </c>
      <c r="BA251" t="s">
        <v>74</v>
      </c>
      <c r="BB251">
        <v>305</v>
      </c>
      <c r="BC251">
        <v>310</v>
      </c>
      <c r="BD251" t="s">
        <v>74</v>
      </c>
      <c r="BE251" t="s">
        <v>74</v>
      </c>
      <c r="BF251" t="s">
        <v>74</v>
      </c>
      <c r="BG251" t="s">
        <v>74</v>
      </c>
      <c r="BH251" t="s">
        <v>74</v>
      </c>
      <c r="BI251">
        <v>6</v>
      </c>
      <c r="BJ251" t="s">
        <v>2826</v>
      </c>
      <c r="BK251" t="s">
        <v>397</v>
      </c>
      <c r="BL251" t="s">
        <v>2827</v>
      </c>
      <c r="BM251" t="s">
        <v>2828</v>
      </c>
      <c r="BN251" t="s">
        <v>74</v>
      </c>
      <c r="BO251" t="s">
        <v>74</v>
      </c>
      <c r="BP251" t="s">
        <v>74</v>
      </c>
      <c r="BQ251" t="s">
        <v>74</v>
      </c>
      <c r="BR251" t="s">
        <v>101</v>
      </c>
      <c r="BS251" t="s">
        <v>3251</v>
      </c>
      <c r="BT251" t="str">
        <f>HYPERLINK("https%3A%2F%2Fwww.webofscience.com%2Fwos%2Fwoscc%2Ffull-record%2FWOS:000079713100050","View Full Record in Web of Science")</f>
        <v>View Full Record in Web of Science</v>
      </c>
    </row>
    <row r="252" spans="1:72" x14ac:dyDescent="0.15">
      <c r="A252" t="s">
        <v>1540</v>
      </c>
      <c r="B252" t="s">
        <v>3252</v>
      </c>
      <c r="C252" t="s">
        <v>74</v>
      </c>
      <c r="D252" t="s">
        <v>2810</v>
      </c>
      <c r="E252" t="s">
        <v>74</v>
      </c>
      <c r="F252" t="s">
        <v>3252</v>
      </c>
      <c r="G252" t="s">
        <v>74</v>
      </c>
      <c r="H252" t="s">
        <v>74</v>
      </c>
      <c r="I252" t="s">
        <v>3253</v>
      </c>
      <c r="J252" t="s">
        <v>2812</v>
      </c>
      <c r="K252" t="s">
        <v>2774</v>
      </c>
      <c r="L252" t="s">
        <v>74</v>
      </c>
      <c r="M252" t="s">
        <v>77</v>
      </c>
      <c r="N252" t="s">
        <v>379</v>
      </c>
      <c r="O252" t="s">
        <v>2814</v>
      </c>
      <c r="P252" t="s">
        <v>2815</v>
      </c>
      <c r="Q252" t="s">
        <v>2816</v>
      </c>
      <c r="R252" t="s">
        <v>74</v>
      </c>
      <c r="S252" t="s">
        <v>74</v>
      </c>
      <c r="T252" t="s">
        <v>74</v>
      </c>
      <c r="U252" t="s">
        <v>3254</v>
      </c>
      <c r="V252" t="s">
        <v>3255</v>
      </c>
      <c r="W252" t="s">
        <v>3256</v>
      </c>
      <c r="X252" t="s">
        <v>2645</v>
      </c>
      <c r="Y252" t="s">
        <v>3257</v>
      </c>
      <c r="Z252" t="s">
        <v>74</v>
      </c>
      <c r="AA252" t="s">
        <v>74</v>
      </c>
      <c r="AB252" t="s">
        <v>74</v>
      </c>
      <c r="AC252" t="s">
        <v>74</v>
      </c>
      <c r="AD252" t="s">
        <v>74</v>
      </c>
      <c r="AE252" t="s">
        <v>74</v>
      </c>
      <c r="AF252" t="s">
        <v>74</v>
      </c>
      <c r="AG252">
        <v>24</v>
      </c>
      <c r="AH252">
        <v>20</v>
      </c>
      <c r="AI252">
        <v>21</v>
      </c>
      <c r="AJ252">
        <v>1</v>
      </c>
      <c r="AK252">
        <v>7</v>
      </c>
      <c r="AL252" t="s">
        <v>2783</v>
      </c>
      <c r="AM252" t="s">
        <v>115</v>
      </c>
      <c r="AN252" t="s">
        <v>2856</v>
      </c>
      <c r="AO252" t="s">
        <v>2785</v>
      </c>
      <c r="AP252" t="s">
        <v>74</v>
      </c>
      <c r="AQ252" t="s">
        <v>2824</v>
      </c>
      <c r="AR252" t="s">
        <v>2787</v>
      </c>
      <c r="AS252" t="s">
        <v>74</v>
      </c>
      <c r="AT252" t="s">
        <v>74</v>
      </c>
      <c r="AU252">
        <v>1998</v>
      </c>
      <c r="AV252">
        <v>27</v>
      </c>
      <c r="AW252" t="s">
        <v>74</v>
      </c>
      <c r="AX252" t="s">
        <v>74</v>
      </c>
      <c r="AY252" t="s">
        <v>74</v>
      </c>
      <c r="AZ252" t="s">
        <v>74</v>
      </c>
      <c r="BA252" t="s">
        <v>74</v>
      </c>
      <c r="BB252">
        <v>311</v>
      </c>
      <c r="BC252">
        <v>315</v>
      </c>
      <c r="BD252" t="s">
        <v>74</v>
      </c>
      <c r="BE252" t="s">
        <v>74</v>
      </c>
      <c r="BF252" t="s">
        <v>74</v>
      </c>
      <c r="BG252" t="s">
        <v>74</v>
      </c>
      <c r="BH252" t="s">
        <v>74</v>
      </c>
      <c r="BI252">
        <v>5</v>
      </c>
      <c r="BJ252" t="s">
        <v>2826</v>
      </c>
      <c r="BK252" t="s">
        <v>397</v>
      </c>
      <c r="BL252" t="s">
        <v>2827</v>
      </c>
      <c r="BM252" t="s">
        <v>2828</v>
      </c>
      <c r="BN252" t="s">
        <v>74</v>
      </c>
      <c r="BO252" t="s">
        <v>74</v>
      </c>
      <c r="BP252" t="s">
        <v>74</v>
      </c>
      <c r="BQ252" t="s">
        <v>74</v>
      </c>
      <c r="BR252" t="s">
        <v>101</v>
      </c>
      <c r="BS252" t="s">
        <v>3258</v>
      </c>
      <c r="BT252" t="str">
        <f>HYPERLINK("https%3A%2F%2Fwww.webofscience.com%2Fwos%2Fwoscc%2Ffull-record%2FWOS:000079713100051","View Full Record in Web of Science")</f>
        <v>View Full Record in Web of Science</v>
      </c>
    </row>
    <row r="253" spans="1:72" x14ac:dyDescent="0.15">
      <c r="A253" t="s">
        <v>1540</v>
      </c>
      <c r="B253" t="s">
        <v>3259</v>
      </c>
      <c r="C253" t="s">
        <v>74</v>
      </c>
      <c r="D253" t="s">
        <v>2810</v>
      </c>
      <c r="E253" t="s">
        <v>74</v>
      </c>
      <c r="F253" t="s">
        <v>3259</v>
      </c>
      <c r="G253" t="s">
        <v>74</v>
      </c>
      <c r="H253" t="s">
        <v>74</v>
      </c>
      <c r="I253" t="s">
        <v>3260</v>
      </c>
      <c r="J253" t="s">
        <v>2812</v>
      </c>
      <c r="K253" t="s">
        <v>2774</v>
      </c>
      <c r="L253" t="s">
        <v>74</v>
      </c>
      <c r="M253" t="s">
        <v>77</v>
      </c>
      <c r="N253" t="s">
        <v>379</v>
      </c>
      <c r="O253" t="s">
        <v>2814</v>
      </c>
      <c r="P253" t="s">
        <v>2815</v>
      </c>
      <c r="Q253" t="s">
        <v>2816</v>
      </c>
      <c r="R253" t="s">
        <v>74</v>
      </c>
      <c r="S253" t="s">
        <v>74</v>
      </c>
      <c r="T253" t="s">
        <v>74</v>
      </c>
      <c r="U253" t="s">
        <v>3261</v>
      </c>
      <c r="V253" t="s">
        <v>3262</v>
      </c>
      <c r="W253" t="s">
        <v>3263</v>
      </c>
      <c r="X253" t="s">
        <v>3264</v>
      </c>
      <c r="Y253" t="s">
        <v>3265</v>
      </c>
      <c r="Z253" t="s">
        <v>74</v>
      </c>
      <c r="AA253" t="s">
        <v>3266</v>
      </c>
      <c r="AB253" t="s">
        <v>3267</v>
      </c>
      <c r="AC253" t="s">
        <v>74</v>
      </c>
      <c r="AD253" t="s">
        <v>74</v>
      </c>
      <c r="AE253" t="s">
        <v>74</v>
      </c>
      <c r="AF253" t="s">
        <v>74</v>
      </c>
      <c r="AG253">
        <v>19</v>
      </c>
      <c r="AH253">
        <v>2</v>
      </c>
      <c r="AI253">
        <v>2</v>
      </c>
      <c r="AJ253">
        <v>0</v>
      </c>
      <c r="AK253">
        <v>1</v>
      </c>
      <c r="AL253" t="s">
        <v>2783</v>
      </c>
      <c r="AM253" t="s">
        <v>115</v>
      </c>
      <c r="AN253" t="s">
        <v>2856</v>
      </c>
      <c r="AO253" t="s">
        <v>2785</v>
      </c>
      <c r="AP253" t="s">
        <v>74</v>
      </c>
      <c r="AQ253" t="s">
        <v>2824</v>
      </c>
      <c r="AR253" t="s">
        <v>2787</v>
      </c>
      <c r="AS253" t="s">
        <v>74</v>
      </c>
      <c r="AT253" t="s">
        <v>74</v>
      </c>
      <c r="AU253">
        <v>1998</v>
      </c>
      <c r="AV253">
        <v>27</v>
      </c>
      <c r="AW253" t="s">
        <v>74</v>
      </c>
      <c r="AX253" t="s">
        <v>74</v>
      </c>
      <c r="AY253" t="s">
        <v>74</v>
      </c>
      <c r="AZ253" t="s">
        <v>74</v>
      </c>
      <c r="BA253" t="s">
        <v>74</v>
      </c>
      <c r="BB253">
        <v>316</v>
      </c>
      <c r="BC253">
        <v>320</v>
      </c>
      <c r="BD253" t="s">
        <v>74</v>
      </c>
      <c r="BE253" t="s">
        <v>74</v>
      </c>
      <c r="BF253" t="s">
        <v>74</v>
      </c>
      <c r="BG253" t="s">
        <v>74</v>
      </c>
      <c r="BH253" t="s">
        <v>74</v>
      </c>
      <c r="BI253">
        <v>5</v>
      </c>
      <c r="BJ253" t="s">
        <v>2826</v>
      </c>
      <c r="BK253" t="s">
        <v>397</v>
      </c>
      <c r="BL253" t="s">
        <v>2827</v>
      </c>
      <c r="BM253" t="s">
        <v>2828</v>
      </c>
      <c r="BN253" t="s">
        <v>74</v>
      </c>
      <c r="BO253" t="s">
        <v>74</v>
      </c>
      <c r="BP253" t="s">
        <v>74</v>
      </c>
      <c r="BQ253" t="s">
        <v>74</v>
      </c>
      <c r="BR253" t="s">
        <v>101</v>
      </c>
      <c r="BS253" t="s">
        <v>3268</v>
      </c>
      <c r="BT253" t="str">
        <f>HYPERLINK("https%3A%2F%2Fwww.webofscience.com%2Fwos%2Fwoscc%2Ffull-record%2FWOS:000079713100052","View Full Record in Web of Science")</f>
        <v>View Full Record in Web of Science</v>
      </c>
    </row>
    <row r="254" spans="1:72" x14ac:dyDescent="0.15">
      <c r="A254" t="s">
        <v>1540</v>
      </c>
      <c r="B254" t="s">
        <v>3269</v>
      </c>
      <c r="C254" t="s">
        <v>74</v>
      </c>
      <c r="D254" t="s">
        <v>2810</v>
      </c>
      <c r="E254" t="s">
        <v>74</v>
      </c>
      <c r="F254" t="s">
        <v>3269</v>
      </c>
      <c r="G254" t="s">
        <v>74</v>
      </c>
      <c r="H254" t="s">
        <v>74</v>
      </c>
      <c r="I254" t="s">
        <v>3270</v>
      </c>
      <c r="J254" t="s">
        <v>2812</v>
      </c>
      <c r="K254" t="s">
        <v>2813</v>
      </c>
      <c r="L254" t="s">
        <v>74</v>
      </c>
      <c r="M254" t="s">
        <v>77</v>
      </c>
      <c r="N254" t="s">
        <v>379</v>
      </c>
      <c r="O254" t="s">
        <v>2814</v>
      </c>
      <c r="P254" t="s">
        <v>2815</v>
      </c>
      <c r="Q254" t="s">
        <v>2816</v>
      </c>
      <c r="R254" t="s">
        <v>74</v>
      </c>
      <c r="S254" t="s">
        <v>74</v>
      </c>
      <c r="T254" t="s">
        <v>74</v>
      </c>
      <c r="U254" t="s">
        <v>3271</v>
      </c>
      <c r="V254" t="s">
        <v>3272</v>
      </c>
      <c r="W254" t="s">
        <v>3273</v>
      </c>
      <c r="X254" t="s">
        <v>277</v>
      </c>
      <c r="Y254" t="s">
        <v>3274</v>
      </c>
      <c r="Z254" t="s">
        <v>74</v>
      </c>
      <c r="AA254" t="s">
        <v>74</v>
      </c>
      <c r="AB254" t="s">
        <v>74</v>
      </c>
      <c r="AC254" t="s">
        <v>74</v>
      </c>
      <c r="AD254" t="s">
        <v>74</v>
      </c>
      <c r="AE254" t="s">
        <v>74</v>
      </c>
      <c r="AF254" t="s">
        <v>74</v>
      </c>
      <c r="AG254">
        <v>20</v>
      </c>
      <c r="AH254">
        <v>1</v>
      </c>
      <c r="AI254">
        <v>1</v>
      </c>
      <c r="AJ254">
        <v>0</v>
      </c>
      <c r="AK254">
        <v>1</v>
      </c>
      <c r="AL254" t="s">
        <v>2783</v>
      </c>
      <c r="AM254" t="s">
        <v>115</v>
      </c>
      <c r="AN254" t="s">
        <v>2784</v>
      </c>
      <c r="AO254" t="s">
        <v>2785</v>
      </c>
      <c r="AP254" t="s">
        <v>74</v>
      </c>
      <c r="AQ254" t="s">
        <v>2824</v>
      </c>
      <c r="AR254" t="s">
        <v>2825</v>
      </c>
      <c r="AS254" t="s">
        <v>74</v>
      </c>
      <c r="AT254" t="s">
        <v>74</v>
      </c>
      <c r="AU254">
        <v>1998</v>
      </c>
      <c r="AV254">
        <v>27</v>
      </c>
      <c r="AW254" t="s">
        <v>74</v>
      </c>
      <c r="AX254" t="s">
        <v>74</v>
      </c>
      <c r="AY254" t="s">
        <v>74</v>
      </c>
      <c r="AZ254" t="s">
        <v>74</v>
      </c>
      <c r="BA254" t="s">
        <v>74</v>
      </c>
      <c r="BB254">
        <v>321</v>
      </c>
      <c r="BC254">
        <v>326</v>
      </c>
      <c r="BD254" t="s">
        <v>74</v>
      </c>
      <c r="BE254" t="s">
        <v>74</v>
      </c>
      <c r="BF254" t="s">
        <v>74</v>
      </c>
      <c r="BG254" t="s">
        <v>74</v>
      </c>
      <c r="BH254" t="s">
        <v>74</v>
      </c>
      <c r="BI254">
        <v>6</v>
      </c>
      <c r="BJ254" t="s">
        <v>2826</v>
      </c>
      <c r="BK254" t="s">
        <v>397</v>
      </c>
      <c r="BL254" t="s">
        <v>2827</v>
      </c>
      <c r="BM254" t="s">
        <v>2828</v>
      </c>
      <c r="BN254" t="s">
        <v>74</v>
      </c>
      <c r="BO254" t="s">
        <v>74</v>
      </c>
      <c r="BP254" t="s">
        <v>74</v>
      </c>
      <c r="BQ254" t="s">
        <v>74</v>
      </c>
      <c r="BR254" t="s">
        <v>101</v>
      </c>
      <c r="BS254" t="s">
        <v>3275</v>
      </c>
      <c r="BT254" t="str">
        <f>HYPERLINK("https%3A%2F%2Fwww.webofscience.com%2Fwos%2Fwoscc%2Ffull-record%2FWOS:000079713100053","View Full Record in Web of Science")</f>
        <v>View Full Record in Web of Science</v>
      </c>
    </row>
    <row r="255" spans="1:72" x14ac:dyDescent="0.15">
      <c r="A255" t="s">
        <v>1540</v>
      </c>
      <c r="B255" t="s">
        <v>3276</v>
      </c>
      <c r="C255" t="s">
        <v>74</v>
      </c>
      <c r="D255" t="s">
        <v>2810</v>
      </c>
      <c r="E255" t="s">
        <v>74</v>
      </c>
      <c r="F255" t="s">
        <v>3276</v>
      </c>
      <c r="G255" t="s">
        <v>74</v>
      </c>
      <c r="H255" t="s">
        <v>74</v>
      </c>
      <c r="I255" t="s">
        <v>3277</v>
      </c>
      <c r="J255" t="s">
        <v>2812</v>
      </c>
      <c r="K255" t="s">
        <v>2774</v>
      </c>
      <c r="L255" t="s">
        <v>74</v>
      </c>
      <c r="M255" t="s">
        <v>77</v>
      </c>
      <c r="N255" t="s">
        <v>379</v>
      </c>
      <c r="O255" t="s">
        <v>2814</v>
      </c>
      <c r="P255" t="s">
        <v>2815</v>
      </c>
      <c r="Q255" t="s">
        <v>2816</v>
      </c>
      <c r="R255" t="s">
        <v>74</v>
      </c>
      <c r="S255" t="s">
        <v>74</v>
      </c>
      <c r="T255" t="s">
        <v>74</v>
      </c>
      <c r="U255" t="s">
        <v>3278</v>
      </c>
      <c r="V255" t="s">
        <v>3279</v>
      </c>
      <c r="W255" t="s">
        <v>3280</v>
      </c>
      <c r="X255" t="s">
        <v>3281</v>
      </c>
      <c r="Y255" t="s">
        <v>3282</v>
      </c>
      <c r="Z255" t="s">
        <v>74</v>
      </c>
      <c r="AA255" t="s">
        <v>3283</v>
      </c>
      <c r="AB255" t="s">
        <v>3284</v>
      </c>
      <c r="AC255" t="s">
        <v>74</v>
      </c>
      <c r="AD255" t="s">
        <v>74</v>
      </c>
      <c r="AE255" t="s">
        <v>74</v>
      </c>
      <c r="AF255" t="s">
        <v>74</v>
      </c>
      <c r="AG255">
        <v>20</v>
      </c>
      <c r="AH255">
        <v>7</v>
      </c>
      <c r="AI255">
        <v>7</v>
      </c>
      <c r="AJ255">
        <v>0</v>
      </c>
      <c r="AK255">
        <v>1</v>
      </c>
      <c r="AL255" t="s">
        <v>2783</v>
      </c>
      <c r="AM255" t="s">
        <v>115</v>
      </c>
      <c r="AN255" t="s">
        <v>2856</v>
      </c>
      <c r="AO255" t="s">
        <v>2785</v>
      </c>
      <c r="AP255" t="s">
        <v>74</v>
      </c>
      <c r="AQ255" t="s">
        <v>2824</v>
      </c>
      <c r="AR255" t="s">
        <v>2787</v>
      </c>
      <c r="AS255" t="s">
        <v>74</v>
      </c>
      <c r="AT255" t="s">
        <v>74</v>
      </c>
      <c r="AU255">
        <v>1998</v>
      </c>
      <c r="AV255">
        <v>27</v>
      </c>
      <c r="AW255" t="s">
        <v>74</v>
      </c>
      <c r="AX255" t="s">
        <v>74</v>
      </c>
      <c r="AY255" t="s">
        <v>74</v>
      </c>
      <c r="AZ255" t="s">
        <v>74</v>
      </c>
      <c r="BA255" t="s">
        <v>74</v>
      </c>
      <c r="BB255">
        <v>327</v>
      </c>
      <c r="BC255">
        <v>332</v>
      </c>
      <c r="BD255" t="s">
        <v>74</v>
      </c>
      <c r="BE255" t="s">
        <v>74</v>
      </c>
      <c r="BF255" t="s">
        <v>74</v>
      </c>
      <c r="BG255" t="s">
        <v>74</v>
      </c>
      <c r="BH255" t="s">
        <v>74</v>
      </c>
      <c r="BI255">
        <v>6</v>
      </c>
      <c r="BJ255" t="s">
        <v>2826</v>
      </c>
      <c r="BK255" t="s">
        <v>397</v>
      </c>
      <c r="BL255" t="s">
        <v>2827</v>
      </c>
      <c r="BM255" t="s">
        <v>2828</v>
      </c>
      <c r="BN255" t="s">
        <v>74</v>
      </c>
      <c r="BO255" t="s">
        <v>74</v>
      </c>
      <c r="BP255" t="s">
        <v>74</v>
      </c>
      <c r="BQ255" t="s">
        <v>74</v>
      </c>
      <c r="BR255" t="s">
        <v>101</v>
      </c>
      <c r="BS255" t="s">
        <v>3285</v>
      </c>
      <c r="BT255" t="str">
        <f>HYPERLINK("https%3A%2F%2Fwww.webofscience.com%2Fwos%2Fwoscc%2Ffull-record%2FWOS:000079713100054","View Full Record in Web of Science")</f>
        <v>View Full Record in Web of Science</v>
      </c>
    </row>
    <row r="256" spans="1:72" x14ac:dyDescent="0.15">
      <c r="A256" t="s">
        <v>1540</v>
      </c>
      <c r="B256" t="s">
        <v>3286</v>
      </c>
      <c r="C256" t="s">
        <v>74</v>
      </c>
      <c r="D256" t="s">
        <v>2810</v>
      </c>
      <c r="E256" t="s">
        <v>74</v>
      </c>
      <c r="F256" t="s">
        <v>3286</v>
      </c>
      <c r="G256" t="s">
        <v>74</v>
      </c>
      <c r="H256" t="s">
        <v>3287</v>
      </c>
      <c r="I256" t="s">
        <v>3288</v>
      </c>
      <c r="J256" t="s">
        <v>2812</v>
      </c>
      <c r="K256" t="s">
        <v>2774</v>
      </c>
      <c r="L256" t="s">
        <v>74</v>
      </c>
      <c r="M256" t="s">
        <v>77</v>
      </c>
      <c r="N256" t="s">
        <v>379</v>
      </c>
      <c r="O256" t="s">
        <v>2814</v>
      </c>
      <c r="P256" t="s">
        <v>2815</v>
      </c>
      <c r="Q256" t="s">
        <v>2816</v>
      </c>
      <c r="R256" t="s">
        <v>74</v>
      </c>
      <c r="S256" t="s">
        <v>74</v>
      </c>
      <c r="T256" t="s">
        <v>74</v>
      </c>
      <c r="U256" t="s">
        <v>74</v>
      </c>
      <c r="V256" t="s">
        <v>3289</v>
      </c>
      <c r="W256" t="s">
        <v>3290</v>
      </c>
      <c r="X256" t="s">
        <v>3291</v>
      </c>
      <c r="Y256" t="s">
        <v>3292</v>
      </c>
      <c r="Z256" t="s">
        <v>74</v>
      </c>
      <c r="AA256" t="s">
        <v>3293</v>
      </c>
      <c r="AB256" t="s">
        <v>3294</v>
      </c>
      <c r="AC256" t="s">
        <v>74</v>
      </c>
      <c r="AD256" t="s">
        <v>74</v>
      </c>
      <c r="AE256" t="s">
        <v>74</v>
      </c>
      <c r="AF256" t="s">
        <v>74</v>
      </c>
      <c r="AG256">
        <v>17</v>
      </c>
      <c r="AH256">
        <v>38</v>
      </c>
      <c r="AI256">
        <v>39</v>
      </c>
      <c r="AJ256">
        <v>0</v>
      </c>
      <c r="AK256">
        <v>3</v>
      </c>
      <c r="AL256" t="s">
        <v>2783</v>
      </c>
      <c r="AM256" t="s">
        <v>115</v>
      </c>
      <c r="AN256" t="s">
        <v>2856</v>
      </c>
      <c r="AO256" t="s">
        <v>2785</v>
      </c>
      <c r="AP256" t="s">
        <v>74</v>
      </c>
      <c r="AQ256" t="s">
        <v>2824</v>
      </c>
      <c r="AR256" t="s">
        <v>2787</v>
      </c>
      <c r="AS256" t="s">
        <v>74</v>
      </c>
      <c r="AT256" t="s">
        <v>74</v>
      </c>
      <c r="AU256">
        <v>1998</v>
      </c>
      <c r="AV256">
        <v>27</v>
      </c>
      <c r="AW256" t="s">
        <v>74</v>
      </c>
      <c r="AX256" t="s">
        <v>74</v>
      </c>
      <c r="AY256" t="s">
        <v>74</v>
      </c>
      <c r="AZ256" t="s">
        <v>74</v>
      </c>
      <c r="BA256" t="s">
        <v>74</v>
      </c>
      <c r="BB256">
        <v>333</v>
      </c>
      <c r="BC256">
        <v>337</v>
      </c>
      <c r="BD256" t="s">
        <v>74</v>
      </c>
      <c r="BE256" t="s">
        <v>74</v>
      </c>
      <c r="BF256" t="s">
        <v>74</v>
      </c>
      <c r="BG256" t="s">
        <v>74</v>
      </c>
      <c r="BH256" t="s">
        <v>74</v>
      </c>
      <c r="BI256">
        <v>5</v>
      </c>
      <c r="BJ256" t="s">
        <v>2826</v>
      </c>
      <c r="BK256" t="s">
        <v>397</v>
      </c>
      <c r="BL256" t="s">
        <v>2827</v>
      </c>
      <c r="BM256" t="s">
        <v>2828</v>
      </c>
      <c r="BN256" t="s">
        <v>74</v>
      </c>
      <c r="BO256" t="s">
        <v>74</v>
      </c>
      <c r="BP256" t="s">
        <v>74</v>
      </c>
      <c r="BQ256" t="s">
        <v>74</v>
      </c>
      <c r="BR256" t="s">
        <v>101</v>
      </c>
      <c r="BS256" t="s">
        <v>3295</v>
      </c>
      <c r="BT256" t="str">
        <f>HYPERLINK("https%3A%2F%2Fwww.webofscience.com%2Fwos%2Fwoscc%2Ffull-record%2FWOS:000079713100055","View Full Record in Web of Science")</f>
        <v>View Full Record in Web of Science</v>
      </c>
    </row>
    <row r="257" spans="1:72" x14ac:dyDescent="0.15">
      <c r="A257" t="s">
        <v>1540</v>
      </c>
      <c r="B257" t="s">
        <v>3296</v>
      </c>
      <c r="C257" t="s">
        <v>74</v>
      </c>
      <c r="D257" t="s">
        <v>2810</v>
      </c>
      <c r="E257" t="s">
        <v>74</v>
      </c>
      <c r="F257" t="s">
        <v>3296</v>
      </c>
      <c r="G257" t="s">
        <v>74</v>
      </c>
      <c r="H257" t="s">
        <v>3297</v>
      </c>
      <c r="I257" t="s">
        <v>3298</v>
      </c>
      <c r="J257" t="s">
        <v>2812</v>
      </c>
      <c r="K257" t="s">
        <v>2813</v>
      </c>
      <c r="L257" t="s">
        <v>74</v>
      </c>
      <c r="M257" t="s">
        <v>77</v>
      </c>
      <c r="N257" t="s">
        <v>379</v>
      </c>
      <c r="O257" t="s">
        <v>2814</v>
      </c>
      <c r="P257" t="s">
        <v>2815</v>
      </c>
      <c r="Q257" t="s">
        <v>2816</v>
      </c>
      <c r="R257" t="s">
        <v>74</v>
      </c>
      <c r="S257" t="s">
        <v>74</v>
      </c>
      <c r="T257" t="s">
        <v>74</v>
      </c>
      <c r="U257" t="s">
        <v>74</v>
      </c>
      <c r="V257" t="s">
        <v>3299</v>
      </c>
      <c r="W257" t="s">
        <v>3300</v>
      </c>
      <c r="X257" t="s">
        <v>3291</v>
      </c>
      <c r="Y257" t="s">
        <v>3301</v>
      </c>
      <c r="Z257" t="s">
        <v>74</v>
      </c>
      <c r="AA257" t="s">
        <v>3302</v>
      </c>
      <c r="AB257" t="s">
        <v>3303</v>
      </c>
      <c r="AC257" t="s">
        <v>74</v>
      </c>
      <c r="AD257" t="s">
        <v>74</v>
      </c>
      <c r="AE257" t="s">
        <v>74</v>
      </c>
      <c r="AF257" t="s">
        <v>74</v>
      </c>
      <c r="AG257">
        <v>5</v>
      </c>
      <c r="AH257">
        <v>16</v>
      </c>
      <c r="AI257">
        <v>16</v>
      </c>
      <c r="AJ257">
        <v>0</v>
      </c>
      <c r="AK257">
        <v>2</v>
      </c>
      <c r="AL257" t="s">
        <v>2783</v>
      </c>
      <c r="AM257" t="s">
        <v>115</v>
      </c>
      <c r="AN257" t="s">
        <v>2784</v>
      </c>
      <c r="AO257" t="s">
        <v>2785</v>
      </c>
      <c r="AP257" t="s">
        <v>74</v>
      </c>
      <c r="AQ257" t="s">
        <v>2824</v>
      </c>
      <c r="AR257" t="s">
        <v>2825</v>
      </c>
      <c r="AS257" t="s">
        <v>74</v>
      </c>
      <c r="AT257" t="s">
        <v>74</v>
      </c>
      <c r="AU257">
        <v>1998</v>
      </c>
      <c r="AV257">
        <v>27</v>
      </c>
      <c r="AW257" t="s">
        <v>74</v>
      </c>
      <c r="AX257" t="s">
        <v>74</v>
      </c>
      <c r="AY257" t="s">
        <v>74</v>
      </c>
      <c r="AZ257" t="s">
        <v>74</v>
      </c>
      <c r="BA257" t="s">
        <v>74</v>
      </c>
      <c r="BB257">
        <v>338</v>
      </c>
      <c r="BC257">
        <v>342</v>
      </c>
      <c r="BD257" t="s">
        <v>74</v>
      </c>
      <c r="BE257" t="s">
        <v>74</v>
      </c>
      <c r="BF257" t="s">
        <v>74</v>
      </c>
      <c r="BG257" t="s">
        <v>74</v>
      </c>
      <c r="BH257" t="s">
        <v>74</v>
      </c>
      <c r="BI257">
        <v>5</v>
      </c>
      <c r="BJ257" t="s">
        <v>2826</v>
      </c>
      <c r="BK257" t="s">
        <v>397</v>
      </c>
      <c r="BL257" t="s">
        <v>2827</v>
      </c>
      <c r="BM257" t="s">
        <v>2828</v>
      </c>
      <c r="BN257" t="s">
        <v>74</v>
      </c>
      <c r="BO257" t="s">
        <v>74</v>
      </c>
      <c r="BP257" t="s">
        <v>74</v>
      </c>
      <c r="BQ257" t="s">
        <v>74</v>
      </c>
      <c r="BR257" t="s">
        <v>101</v>
      </c>
      <c r="BS257" t="s">
        <v>3304</v>
      </c>
      <c r="BT257" t="str">
        <f>HYPERLINK("https%3A%2F%2Fwww.webofscience.com%2Fwos%2Fwoscc%2Ffull-record%2FWOS:000079713100056","View Full Record in Web of Science")</f>
        <v>View Full Record in Web of Science</v>
      </c>
    </row>
    <row r="258" spans="1:72" x14ac:dyDescent="0.15">
      <c r="A258" t="s">
        <v>1540</v>
      </c>
      <c r="B258" t="s">
        <v>3305</v>
      </c>
      <c r="C258" t="s">
        <v>74</v>
      </c>
      <c r="D258" t="s">
        <v>2810</v>
      </c>
      <c r="E258" t="s">
        <v>74</v>
      </c>
      <c r="F258" t="s">
        <v>3305</v>
      </c>
      <c r="G258" t="s">
        <v>74</v>
      </c>
      <c r="H258" t="s">
        <v>74</v>
      </c>
      <c r="I258" t="s">
        <v>3306</v>
      </c>
      <c r="J258" t="s">
        <v>2812</v>
      </c>
      <c r="K258" t="s">
        <v>2774</v>
      </c>
      <c r="L258" t="s">
        <v>74</v>
      </c>
      <c r="M258" t="s">
        <v>77</v>
      </c>
      <c r="N258" t="s">
        <v>379</v>
      </c>
      <c r="O258" t="s">
        <v>2814</v>
      </c>
      <c r="P258" t="s">
        <v>2815</v>
      </c>
      <c r="Q258" t="s">
        <v>2816</v>
      </c>
      <c r="R258" t="s">
        <v>74</v>
      </c>
      <c r="S258" t="s">
        <v>74</v>
      </c>
      <c r="T258" t="s">
        <v>74</v>
      </c>
      <c r="U258" t="s">
        <v>3307</v>
      </c>
      <c r="V258" t="s">
        <v>3308</v>
      </c>
      <c r="W258" t="s">
        <v>3141</v>
      </c>
      <c r="X258" t="s">
        <v>672</v>
      </c>
      <c r="Y258" t="s">
        <v>3309</v>
      </c>
      <c r="Z258" t="s">
        <v>74</v>
      </c>
      <c r="AA258" t="s">
        <v>74</v>
      </c>
      <c r="AB258" t="s">
        <v>74</v>
      </c>
      <c r="AC258" t="s">
        <v>74</v>
      </c>
      <c r="AD258" t="s">
        <v>74</v>
      </c>
      <c r="AE258" t="s">
        <v>74</v>
      </c>
      <c r="AF258" t="s">
        <v>74</v>
      </c>
      <c r="AG258">
        <v>20</v>
      </c>
      <c r="AH258">
        <v>21</v>
      </c>
      <c r="AI258">
        <v>22</v>
      </c>
      <c r="AJ258">
        <v>0</v>
      </c>
      <c r="AK258">
        <v>4</v>
      </c>
      <c r="AL258" t="s">
        <v>2783</v>
      </c>
      <c r="AM258" t="s">
        <v>115</v>
      </c>
      <c r="AN258" t="s">
        <v>2856</v>
      </c>
      <c r="AO258" t="s">
        <v>2785</v>
      </c>
      <c r="AP258" t="s">
        <v>74</v>
      </c>
      <c r="AQ258" t="s">
        <v>2824</v>
      </c>
      <c r="AR258" t="s">
        <v>2787</v>
      </c>
      <c r="AS258" t="s">
        <v>74</v>
      </c>
      <c r="AT258" t="s">
        <v>74</v>
      </c>
      <c r="AU258">
        <v>1998</v>
      </c>
      <c r="AV258">
        <v>27</v>
      </c>
      <c r="AW258" t="s">
        <v>74</v>
      </c>
      <c r="AX258" t="s">
        <v>74</v>
      </c>
      <c r="AY258" t="s">
        <v>74</v>
      </c>
      <c r="AZ258" t="s">
        <v>74</v>
      </c>
      <c r="BA258" t="s">
        <v>74</v>
      </c>
      <c r="BB258">
        <v>343</v>
      </c>
      <c r="BC258">
        <v>348</v>
      </c>
      <c r="BD258" t="s">
        <v>74</v>
      </c>
      <c r="BE258" t="s">
        <v>74</v>
      </c>
      <c r="BF258" t="s">
        <v>74</v>
      </c>
      <c r="BG258" t="s">
        <v>74</v>
      </c>
      <c r="BH258" t="s">
        <v>74</v>
      </c>
      <c r="BI258">
        <v>6</v>
      </c>
      <c r="BJ258" t="s">
        <v>2826</v>
      </c>
      <c r="BK258" t="s">
        <v>397</v>
      </c>
      <c r="BL258" t="s">
        <v>2827</v>
      </c>
      <c r="BM258" t="s">
        <v>2828</v>
      </c>
      <c r="BN258" t="s">
        <v>74</v>
      </c>
      <c r="BO258" t="s">
        <v>74</v>
      </c>
      <c r="BP258" t="s">
        <v>74</v>
      </c>
      <c r="BQ258" t="s">
        <v>74</v>
      </c>
      <c r="BR258" t="s">
        <v>101</v>
      </c>
      <c r="BS258" t="s">
        <v>3310</v>
      </c>
      <c r="BT258" t="str">
        <f>HYPERLINK("https%3A%2F%2Fwww.webofscience.com%2Fwos%2Fwoscc%2Ffull-record%2FWOS:000079713100057","View Full Record in Web of Science")</f>
        <v>View Full Record in Web of Science</v>
      </c>
    </row>
    <row r="259" spans="1:72" x14ac:dyDescent="0.15">
      <c r="A259" t="s">
        <v>1540</v>
      </c>
      <c r="B259" t="s">
        <v>3311</v>
      </c>
      <c r="C259" t="s">
        <v>74</v>
      </c>
      <c r="D259" t="s">
        <v>2810</v>
      </c>
      <c r="E259" t="s">
        <v>74</v>
      </c>
      <c r="F259" t="s">
        <v>3311</v>
      </c>
      <c r="G259" t="s">
        <v>74</v>
      </c>
      <c r="H259" t="s">
        <v>74</v>
      </c>
      <c r="I259" t="s">
        <v>3312</v>
      </c>
      <c r="J259" t="s">
        <v>2812</v>
      </c>
      <c r="K259" t="s">
        <v>2774</v>
      </c>
      <c r="L259" t="s">
        <v>74</v>
      </c>
      <c r="M259" t="s">
        <v>77</v>
      </c>
      <c r="N259" t="s">
        <v>379</v>
      </c>
      <c r="O259" t="s">
        <v>2814</v>
      </c>
      <c r="P259" t="s">
        <v>2815</v>
      </c>
      <c r="Q259" t="s">
        <v>2816</v>
      </c>
      <c r="R259" t="s">
        <v>74</v>
      </c>
      <c r="S259" t="s">
        <v>74</v>
      </c>
      <c r="T259" t="s">
        <v>74</v>
      </c>
      <c r="U259" t="s">
        <v>3313</v>
      </c>
      <c r="V259" t="s">
        <v>3314</v>
      </c>
      <c r="W259" t="s">
        <v>3315</v>
      </c>
      <c r="X259" t="s">
        <v>3316</v>
      </c>
      <c r="Y259" t="s">
        <v>3317</v>
      </c>
      <c r="Z259" t="s">
        <v>74</v>
      </c>
      <c r="AA259" t="s">
        <v>3318</v>
      </c>
      <c r="AB259" t="s">
        <v>3319</v>
      </c>
      <c r="AC259" t="s">
        <v>74</v>
      </c>
      <c r="AD259" t="s">
        <v>74</v>
      </c>
      <c r="AE259" t="s">
        <v>74</v>
      </c>
      <c r="AF259" t="s">
        <v>74</v>
      </c>
      <c r="AG259">
        <v>26</v>
      </c>
      <c r="AH259">
        <v>18</v>
      </c>
      <c r="AI259">
        <v>19</v>
      </c>
      <c r="AJ259">
        <v>0</v>
      </c>
      <c r="AK259">
        <v>6</v>
      </c>
      <c r="AL259" t="s">
        <v>2783</v>
      </c>
      <c r="AM259" t="s">
        <v>115</v>
      </c>
      <c r="AN259" t="s">
        <v>2856</v>
      </c>
      <c r="AO259" t="s">
        <v>2785</v>
      </c>
      <c r="AP259" t="s">
        <v>74</v>
      </c>
      <c r="AQ259" t="s">
        <v>2824</v>
      </c>
      <c r="AR259" t="s">
        <v>2787</v>
      </c>
      <c r="AS259" t="s">
        <v>74</v>
      </c>
      <c r="AT259" t="s">
        <v>74</v>
      </c>
      <c r="AU259">
        <v>1998</v>
      </c>
      <c r="AV259">
        <v>27</v>
      </c>
      <c r="AW259" t="s">
        <v>74</v>
      </c>
      <c r="AX259" t="s">
        <v>74</v>
      </c>
      <c r="AY259" t="s">
        <v>74</v>
      </c>
      <c r="AZ259" t="s">
        <v>74</v>
      </c>
      <c r="BA259" t="s">
        <v>74</v>
      </c>
      <c r="BB259">
        <v>349</v>
      </c>
      <c r="BC259">
        <v>354</v>
      </c>
      <c r="BD259" t="s">
        <v>74</v>
      </c>
      <c r="BE259" t="s">
        <v>74</v>
      </c>
      <c r="BF259" t="s">
        <v>74</v>
      </c>
      <c r="BG259" t="s">
        <v>74</v>
      </c>
      <c r="BH259" t="s">
        <v>74</v>
      </c>
      <c r="BI259">
        <v>6</v>
      </c>
      <c r="BJ259" t="s">
        <v>2826</v>
      </c>
      <c r="BK259" t="s">
        <v>397</v>
      </c>
      <c r="BL259" t="s">
        <v>2827</v>
      </c>
      <c r="BM259" t="s">
        <v>2828</v>
      </c>
      <c r="BN259" t="s">
        <v>74</v>
      </c>
      <c r="BO259" t="s">
        <v>74</v>
      </c>
      <c r="BP259" t="s">
        <v>74</v>
      </c>
      <c r="BQ259" t="s">
        <v>74</v>
      </c>
      <c r="BR259" t="s">
        <v>101</v>
      </c>
      <c r="BS259" t="s">
        <v>3320</v>
      </c>
      <c r="BT259" t="str">
        <f>HYPERLINK("https%3A%2F%2Fwww.webofscience.com%2Fwos%2Fwoscc%2Ffull-record%2FWOS:000079713100058","View Full Record in Web of Science")</f>
        <v>View Full Record in Web of Science</v>
      </c>
    </row>
    <row r="260" spans="1:72" x14ac:dyDescent="0.15">
      <c r="A260" t="s">
        <v>1540</v>
      </c>
      <c r="B260" t="s">
        <v>3321</v>
      </c>
      <c r="C260" t="s">
        <v>74</v>
      </c>
      <c r="D260" t="s">
        <v>2810</v>
      </c>
      <c r="E260" t="s">
        <v>74</v>
      </c>
      <c r="F260" t="s">
        <v>3321</v>
      </c>
      <c r="G260" t="s">
        <v>74</v>
      </c>
      <c r="H260" t="s">
        <v>74</v>
      </c>
      <c r="I260" t="s">
        <v>3322</v>
      </c>
      <c r="J260" t="s">
        <v>2812</v>
      </c>
      <c r="K260" t="s">
        <v>2813</v>
      </c>
      <c r="L260" t="s">
        <v>74</v>
      </c>
      <c r="M260" t="s">
        <v>77</v>
      </c>
      <c r="N260" t="s">
        <v>379</v>
      </c>
      <c r="O260" t="s">
        <v>2814</v>
      </c>
      <c r="P260" t="s">
        <v>2815</v>
      </c>
      <c r="Q260" t="s">
        <v>2816</v>
      </c>
      <c r="R260" t="s">
        <v>74</v>
      </c>
      <c r="S260" t="s">
        <v>74</v>
      </c>
      <c r="T260" t="s">
        <v>74</v>
      </c>
      <c r="U260" t="s">
        <v>3323</v>
      </c>
      <c r="V260" t="s">
        <v>3324</v>
      </c>
      <c r="W260" t="s">
        <v>3325</v>
      </c>
      <c r="X260" t="s">
        <v>3326</v>
      </c>
      <c r="Y260" t="s">
        <v>3327</v>
      </c>
      <c r="Z260" t="s">
        <v>74</v>
      </c>
      <c r="AA260" t="s">
        <v>3328</v>
      </c>
      <c r="AB260" t="s">
        <v>3329</v>
      </c>
      <c r="AC260" t="s">
        <v>74</v>
      </c>
      <c r="AD260" t="s">
        <v>74</v>
      </c>
      <c r="AE260" t="s">
        <v>74</v>
      </c>
      <c r="AF260" t="s">
        <v>74</v>
      </c>
      <c r="AG260">
        <v>19</v>
      </c>
      <c r="AH260">
        <v>10</v>
      </c>
      <c r="AI260">
        <v>15</v>
      </c>
      <c r="AJ260">
        <v>0</v>
      </c>
      <c r="AK260">
        <v>3</v>
      </c>
      <c r="AL260" t="s">
        <v>2783</v>
      </c>
      <c r="AM260" t="s">
        <v>115</v>
      </c>
      <c r="AN260" t="s">
        <v>2784</v>
      </c>
      <c r="AO260" t="s">
        <v>2785</v>
      </c>
      <c r="AP260" t="s">
        <v>74</v>
      </c>
      <c r="AQ260" t="s">
        <v>2824</v>
      </c>
      <c r="AR260" t="s">
        <v>2825</v>
      </c>
      <c r="AS260" t="s">
        <v>74</v>
      </c>
      <c r="AT260" t="s">
        <v>74</v>
      </c>
      <c r="AU260">
        <v>1998</v>
      </c>
      <c r="AV260">
        <v>27</v>
      </c>
      <c r="AW260" t="s">
        <v>74</v>
      </c>
      <c r="AX260" t="s">
        <v>74</v>
      </c>
      <c r="AY260" t="s">
        <v>74</v>
      </c>
      <c r="AZ260" t="s">
        <v>74</v>
      </c>
      <c r="BA260" t="s">
        <v>74</v>
      </c>
      <c r="BB260">
        <v>355</v>
      </c>
      <c r="BC260">
        <v>359</v>
      </c>
      <c r="BD260" t="s">
        <v>74</v>
      </c>
      <c r="BE260" t="s">
        <v>74</v>
      </c>
      <c r="BF260" t="s">
        <v>74</v>
      </c>
      <c r="BG260" t="s">
        <v>74</v>
      </c>
      <c r="BH260" t="s">
        <v>74</v>
      </c>
      <c r="BI260">
        <v>5</v>
      </c>
      <c r="BJ260" t="s">
        <v>2826</v>
      </c>
      <c r="BK260" t="s">
        <v>397</v>
      </c>
      <c r="BL260" t="s">
        <v>2827</v>
      </c>
      <c r="BM260" t="s">
        <v>2828</v>
      </c>
      <c r="BN260" t="s">
        <v>74</v>
      </c>
      <c r="BO260" t="s">
        <v>74</v>
      </c>
      <c r="BP260" t="s">
        <v>74</v>
      </c>
      <c r="BQ260" t="s">
        <v>74</v>
      </c>
      <c r="BR260" t="s">
        <v>101</v>
      </c>
      <c r="BS260" t="s">
        <v>3330</v>
      </c>
      <c r="BT260" t="str">
        <f>HYPERLINK("https%3A%2F%2Fwww.webofscience.com%2Fwos%2Fwoscc%2Ffull-record%2FWOS:000079713100059","View Full Record in Web of Science")</f>
        <v>View Full Record in Web of Science</v>
      </c>
    </row>
    <row r="261" spans="1:72" x14ac:dyDescent="0.15">
      <c r="A261" t="s">
        <v>1540</v>
      </c>
      <c r="B261" t="s">
        <v>3331</v>
      </c>
      <c r="C261" t="s">
        <v>74</v>
      </c>
      <c r="D261" t="s">
        <v>2810</v>
      </c>
      <c r="E261" t="s">
        <v>74</v>
      </c>
      <c r="F261" t="s">
        <v>3331</v>
      </c>
      <c r="G261" t="s">
        <v>74</v>
      </c>
      <c r="H261" t="s">
        <v>74</v>
      </c>
      <c r="I261" t="s">
        <v>3332</v>
      </c>
      <c r="J261" t="s">
        <v>2812</v>
      </c>
      <c r="K261" t="s">
        <v>2774</v>
      </c>
      <c r="L261" t="s">
        <v>74</v>
      </c>
      <c r="M261" t="s">
        <v>77</v>
      </c>
      <c r="N261" t="s">
        <v>379</v>
      </c>
      <c r="O261" t="s">
        <v>2814</v>
      </c>
      <c r="P261" t="s">
        <v>2815</v>
      </c>
      <c r="Q261" t="s">
        <v>2816</v>
      </c>
      <c r="R261" t="s">
        <v>74</v>
      </c>
      <c r="S261" t="s">
        <v>74</v>
      </c>
      <c r="T261" t="s">
        <v>74</v>
      </c>
      <c r="U261" t="s">
        <v>3333</v>
      </c>
      <c r="V261" t="s">
        <v>3334</v>
      </c>
      <c r="W261" t="s">
        <v>3335</v>
      </c>
      <c r="X261" t="s">
        <v>3336</v>
      </c>
      <c r="Y261" t="s">
        <v>3337</v>
      </c>
      <c r="Z261" t="s">
        <v>74</v>
      </c>
      <c r="AA261" t="s">
        <v>3338</v>
      </c>
      <c r="AB261" t="s">
        <v>3339</v>
      </c>
      <c r="AC261" t="s">
        <v>74</v>
      </c>
      <c r="AD261" t="s">
        <v>74</v>
      </c>
      <c r="AE261" t="s">
        <v>74</v>
      </c>
      <c r="AF261" t="s">
        <v>74</v>
      </c>
      <c r="AG261">
        <v>12</v>
      </c>
      <c r="AH261">
        <v>16</v>
      </c>
      <c r="AI261">
        <v>18</v>
      </c>
      <c r="AJ261">
        <v>0</v>
      </c>
      <c r="AK261">
        <v>5</v>
      </c>
      <c r="AL261" t="s">
        <v>2783</v>
      </c>
      <c r="AM261" t="s">
        <v>115</v>
      </c>
      <c r="AN261" t="s">
        <v>2856</v>
      </c>
      <c r="AO261" t="s">
        <v>2785</v>
      </c>
      <c r="AP261" t="s">
        <v>74</v>
      </c>
      <c r="AQ261" t="s">
        <v>2824</v>
      </c>
      <c r="AR261" t="s">
        <v>2787</v>
      </c>
      <c r="AS261" t="s">
        <v>74</v>
      </c>
      <c r="AT261" t="s">
        <v>74</v>
      </c>
      <c r="AU261">
        <v>1998</v>
      </c>
      <c r="AV261">
        <v>27</v>
      </c>
      <c r="AW261" t="s">
        <v>74</v>
      </c>
      <c r="AX261" t="s">
        <v>74</v>
      </c>
      <c r="AY261" t="s">
        <v>74</v>
      </c>
      <c r="AZ261" t="s">
        <v>74</v>
      </c>
      <c r="BA261" t="s">
        <v>74</v>
      </c>
      <c r="BB261">
        <v>360</v>
      </c>
      <c r="BC261">
        <v>364</v>
      </c>
      <c r="BD261" t="s">
        <v>74</v>
      </c>
      <c r="BE261" t="s">
        <v>74</v>
      </c>
      <c r="BF261" t="s">
        <v>74</v>
      </c>
      <c r="BG261" t="s">
        <v>74</v>
      </c>
      <c r="BH261" t="s">
        <v>74</v>
      </c>
      <c r="BI261">
        <v>5</v>
      </c>
      <c r="BJ261" t="s">
        <v>2826</v>
      </c>
      <c r="BK261" t="s">
        <v>397</v>
      </c>
      <c r="BL261" t="s">
        <v>2827</v>
      </c>
      <c r="BM261" t="s">
        <v>2828</v>
      </c>
      <c r="BN261" t="s">
        <v>74</v>
      </c>
      <c r="BO261" t="s">
        <v>74</v>
      </c>
      <c r="BP261" t="s">
        <v>74</v>
      </c>
      <c r="BQ261" t="s">
        <v>74</v>
      </c>
      <c r="BR261" t="s">
        <v>101</v>
      </c>
      <c r="BS261" t="s">
        <v>3340</v>
      </c>
      <c r="BT261" t="str">
        <f>HYPERLINK("https%3A%2F%2Fwww.webofscience.com%2Fwos%2Fwoscc%2Ffull-record%2FWOS:000079713100060","View Full Record in Web of Science")</f>
        <v>View Full Record in Web of Science</v>
      </c>
    </row>
    <row r="262" spans="1:72" x14ac:dyDescent="0.15">
      <c r="A262" t="s">
        <v>1540</v>
      </c>
      <c r="B262" t="s">
        <v>3341</v>
      </c>
      <c r="C262" t="s">
        <v>74</v>
      </c>
      <c r="D262" t="s">
        <v>2810</v>
      </c>
      <c r="E262" t="s">
        <v>74</v>
      </c>
      <c r="F262" t="s">
        <v>3341</v>
      </c>
      <c r="G262" t="s">
        <v>74</v>
      </c>
      <c r="H262" t="s">
        <v>74</v>
      </c>
      <c r="I262" t="s">
        <v>3342</v>
      </c>
      <c r="J262" t="s">
        <v>2812</v>
      </c>
      <c r="K262" t="s">
        <v>2774</v>
      </c>
      <c r="L262" t="s">
        <v>74</v>
      </c>
      <c r="M262" t="s">
        <v>77</v>
      </c>
      <c r="N262" t="s">
        <v>379</v>
      </c>
      <c r="O262" t="s">
        <v>2814</v>
      </c>
      <c r="P262" t="s">
        <v>2815</v>
      </c>
      <c r="Q262" t="s">
        <v>2816</v>
      </c>
      <c r="R262" t="s">
        <v>74</v>
      </c>
      <c r="S262" t="s">
        <v>74</v>
      </c>
      <c r="T262" t="s">
        <v>74</v>
      </c>
      <c r="U262" t="s">
        <v>3343</v>
      </c>
      <c r="V262" t="s">
        <v>3344</v>
      </c>
      <c r="W262" t="s">
        <v>3345</v>
      </c>
      <c r="X262" t="s">
        <v>3346</v>
      </c>
      <c r="Y262" t="s">
        <v>3347</v>
      </c>
      <c r="Z262" t="s">
        <v>74</v>
      </c>
      <c r="AA262" t="s">
        <v>3318</v>
      </c>
      <c r="AB262" t="s">
        <v>3319</v>
      </c>
      <c r="AC262" t="s">
        <v>74</v>
      </c>
      <c r="AD262" t="s">
        <v>74</v>
      </c>
      <c r="AE262" t="s">
        <v>74</v>
      </c>
      <c r="AF262" t="s">
        <v>74</v>
      </c>
      <c r="AG262">
        <v>26</v>
      </c>
      <c r="AH262">
        <v>29</v>
      </c>
      <c r="AI262">
        <v>29</v>
      </c>
      <c r="AJ262">
        <v>0</v>
      </c>
      <c r="AK262">
        <v>7</v>
      </c>
      <c r="AL262" t="s">
        <v>2783</v>
      </c>
      <c r="AM262" t="s">
        <v>115</v>
      </c>
      <c r="AN262" t="s">
        <v>2856</v>
      </c>
      <c r="AO262" t="s">
        <v>2785</v>
      </c>
      <c r="AP262" t="s">
        <v>74</v>
      </c>
      <c r="AQ262" t="s">
        <v>2824</v>
      </c>
      <c r="AR262" t="s">
        <v>2787</v>
      </c>
      <c r="AS262" t="s">
        <v>74</v>
      </c>
      <c r="AT262" t="s">
        <v>74</v>
      </c>
      <c r="AU262">
        <v>1998</v>
      </c>
      <c r="AV262">
        <v>27</v>
      </c>
      <c r="AW262" t="s">
        <v>74</v>
      </c>
      <c r="AX262" t="s">
        <v>74</v>
      </c>
      <c r="AY262" t="s">
        <v>74</v>
      </c>
      <c r="AZ262" t="s">
        <v>74</v>
      </c>
      <c r="BA262" t="s">
        <v>74</v>
      </c>
      <c r="BB262">
        <v>365</v>
      </c>
      <c r="BC262">
        <v>370</v>
      </c>
      <c r="BD262" t="s">
        <v>74</v>
      </c>
      <c r="BE262" t="s">
        <v>74</v>
      </c>
      <c r="BF262" t="s">
        <v>74</v>
      </c>
      <c r="BG262" t="s">
        <v>74</v>
      </c>
      <c r="BH262" t="s">
        <v>74</v>
      </c>
      <c r="BI262">
        <v>6</v>
      </c>
      <c r="BJ262" t="s">
        <v>2826</v>
      </c>
      <c r="BK262" t="s">
        <v>397</v>
      </c>
      <c r="BL262" t="s">
        <v>2827</v>
      </c>
      <c r="BM262" t="s">
        <v>2828</v>
      </c>
      <c r="BN262" t="s">
        <v>74</v>
      </c>
      <c r="BO262" t="s">
        <v>74</v>
      </c>
      <c r="BP262" t="s">
        <v>74</v>
      </c>
      <c r="BQ262" t="s">
        <v>74</v>
      </c>
      <c r="BR262" t="s">
        <v>101</v>
      </c>
      <c r="BS262" t="s">
        <v>3348</v>
      </c>
      <c r="BT262" t="str">
        <f>HYPERLINK("https%3A%2F%2Fwww.webofscience.com%2Fwos%2Fwoscc%2Ffull-record%2FWOS:000079713100061","View Full Record in Web of Science")</f>
        <v>View Full Record in Web of Science</v>
      </c>
    </row>
    <row r="263" spans="1:72" x14ac:dyDescent="0.15">
      <c r="A263" t="s">
        <v>1540</v>
      </c>
      <c r="B263" t="s">
        <v>3349</v>
      </c>
      <c r="C263" t="s">
        <v>74</v>
      </c>
      <c r="D263" t="s">
        <v>2810</v>
      </c>
      <c r="E263" t="s">
        <v>74</v>
      </c>
      <c r="F263" t="s">
        <v>3349</v>
      </c>
      <c r="G263" t="s">
        <v>74</v>
      </c>
      <c r="H263" t="s">
        <v>74</v>
      </c>
      <c r="I263" t="s">
        <v>3350</v>
      </c>
      <c r="J263" t="s">
        <v>2812</v>
      </c>
      <c r="K263" t="s">
        <v>2774</v>
      </c>
      <c r="L263" t="s">
        <v>74</v>
      </c>
      <c r="M263" t="s">
        <v>77</v>
      </c>
      <c r="N263" t="s">
        <v>379</v>
      </c>
      <c r="O263" t="s">
        <v>2814</v>
      </c>
      <c r="P263" t="s">
        <v>2815</v>
      </c>
      <c r="Q263" t="s">
        <v>2816</v>
      </c>
      <c r="R263" t="s">
        <v>74</v>
      </c>
      <c r="S263" t="s">
        <v>74</v>
      </c>
      <c r="T263" t="s">
        <v>74</v>
      </c>
      <c r="U263" t="s">
        <v>3351</v>
      </c>
      <c r="V263" t="s">
        <v>3352</v>
      </c>
      <c r="W263" t="s">
        <v>3353</v>
      </c>
      <c r="X263" t="s">
        <v>3354</v>
      </c>
      <c r="Y263" t="s">
        <v>3355</v>
      </c>
      <c r="Z263" t="s">
        <v>74</v>
      </c>
      <c r="AA263" t="s">
        <v>3356</v>
      </c>
      <c r="AB263" t="s">
        <v>74</v>
      </c>
      <c r="AC263" t="s">
        <v>74</v>
      </c>
      <c r="AD263" t="s">
        <v>74</v>
      </c>
      <c r="AE263" t="s">
        <v>74</v>
      </c>
      <c r="AF263" t="s">
        <v>74</v>
      </c>
      <c r="AG263">
        <v>33</v>
      </c>
      <c r="AH263">
        <v>28</v>
      </c>
      <c r="AI263">
        <v>30</v>
      </c>
      <c r="AJ263">
        <v>0</v>
      </c>
      <c r="AK263">
        <v>3</v>
      </c>
      <c r="AL263" t="s">
        <v>2783</v>
      </c>
      <c r="AM263" t="s">
        <v>115</v>
      </c>
      <c r="AN263" t="s">
        <v>2856</v>
      </c>
      <c r="AO263" t="s">
        <v>2785</v>
      </c>
      <c r="AP263" t="s">
        <v>74</v>
      </c>
      <c r="AQ263" t="s">
        <v>2824</v>
      </c>
      <c r="AR263" t="s">
        <v>2787</v>
      </c>
      <c r="AS263" t="s">
        <v>74</v>
      </c>
      <c r="AT263" t="s">
        <v>74</v>
      </c>
      <c r="AU263">
        <v>1998</v>
      </c>
      <c r="AV263">
        <v>27</v>
      </c>
      <c r="AW263" t="s">
        <v>74</v>
      </c>
      <c r="AX263" t="s">
        <v>74</v>
      </c>
      <c r="AY263" t="s">
        <v>74</v>
      </c>
      <c r="AZ263" t="s">
        <v>74</v>
      </c>
      <c r="BA263" t="s">
        <v>74</v>
      </c>
      <c r="BB263">
        <v>371</v>
      </c>
      <c r="BC263">
        <v>377</v>
      </c>
      <c r="BD263" t="s">
        <v>74</v>
      </c>
      <c r="BE263" t="s">
        <v>74</v>
      </c>
      <c r="BF263" t="s">
        <v>74</v>
      </c>
      <c r="BG263" t="s">
        <v>74</v>
      </c>
      <c r="BH263" t="s">
        <v>74</v>
      </c>
      <c r="BI263">
        <v>7</v>
      </c>
      <c r="BJ263" t="s">
        <v>2826</v>
      </c>
      <c r="BK263" t="s">
        <v>397</v>
      </c>
      <c r="BL263" t="s">
        <v>2827</v>
      </c>
      <c r="BM263" t="s">
        <v>2828</v>
      </c>
      <c r="BN263" t="s">
        <v>74</v>
      </c>
      <c r="BO263" t="s">
        <v>74</v>
      </c>
      <c r="BP263" t="s">
        <v>74</v>
      </c>
      <c r="BQ263" t="s">
        <v>74</v>
      </c>
      <c r="BR263" t="s">
        <v>101</v>
      </c>
      <c r="BS263" t="s">
        <v>3357</v>
      </c>
      <c r="BT263" t="str">
        <f>HYPERLINK("https%3A%2F%2Fwww.webofscience.com%2Fwos%2Fwoscc%2Ffull-record%2FWOS:000079713100062","View Full Record in Web of Science")</f>
        <v>View Full Record in Web of Science</v>
      </c>
    </row>
    <row r="264" spans="1:72" x14ac:dyDescent="0.15">
      <c r="A264" t="s">
        <v>1540</v>
      </c>
      <c r="B264" t="s">
        <v>3358</v>
      </c>
      <c r="C264" t="s">
        <v>74</v>
      </c>
      <c r="D264" t="s">
        <v>2810</v>
      </c>
      <c r="E264" t="s">
        <v>74</v>
      </c>
      <c r="F264" t="s">
        <v>3358</v>
      </c>
      <c r="G264" t="s">
        <v>74</v>
      </c>
      <c r="H264" t="s">
        <v>74</v>
      </c>
      <c r="I264" t="s">
        <v>3359</v>
      </c>
      <c r="J264" t="s">
        <v>2812</v>
      </c>
      <c r="K264" t="s">
        <v>2774</v>
      </c>
      <c r="L264" t="s">
        <v>74</v>
      </c>
      <c r="M264" t="s">
        <v>77</v>
      </c>
      <c r="N264" t="s">
        <v>379</v>
      </c>
      <c r="O264" t="s">
        <v>2814</v>
      </c>
      <c r="P264" t="s">
        <v>2815</v>
      </c>
      <c r="Q264" t="s">
        <v>2816</v>
      </c>
      <c r="R264" t="s">
        <v>74</v>
      </c>
      <c r="S264" t="s">
        <v>74</v>
      </c>
      <c r="T264" t="s">
        <v>74</v>
      </c>
      <c r="U264" t="s">
        <v>3360</v>
      </c>
      <c r="V264" t="s">
        <v>3361</v>
      </c>
      <c r="W264" t="s">
        <v>3362</v>
      </c>
      <c r="X264" t="s">
        <v>3363</v>
      </c>
      <c r="Y264" t="s">
        <v>3364</v>
      </c>
      <c r="Z264" t="s">
        <v>74</v>
      </c>
      <c r="AA264" t="s">
        <v>3356</v>
      </c>
      <c r="AB264" t="s">
        <v>74</v>
      </c>
      <c r="AC264" t="s">
        <v>74</v>
      </c>
      <c r="AD264" t="s">
        <v>74</v>
      </c>
      <c r="AE264" t="s">
        <v>74</v>
      </c>
      <c r="AF264" t="s">
        <v>74</v>
      </c>
      <c r="AG264">
        <v>28</v>
      </c>
      <c r="AH264">
        <v>30</v>
      </c>
      <c r="AI264">
        <v>34</v>
      </c>
      <c r="AJ264">
        <v>0</v>
      </c>
      <c r="AK264">
        <v>9</v>
      </c>
      <c r="AL264" t="s">
        <v>2783</v>
      </c>
      <c r="AM264" t="s">
        <v>115</v>
      </c>
      <c r="AN264" t="s">
        <v>2856</v>
      </c>
      <c r="AO264" t="s">
        <v>2785</v>
      </c>
      <c r="AP264" t="s">
        <v>74</v>
      </c>
      <c r="AQ264" t="s">
        <v>2824</v>
      </c>
      <c r="AR264" t="s">
        <v>2787</v>
      </c>
      <c r="AS264" t="s">
        <v>74</v>
      </c>
      <c r="AT264" t="s">
        <v>74</v>
      </c>
      <c r="AU264">
        <v>1998</v>
      </c>
      <c r="AV264">
        <v>27</v>
      </c>
      <c r="AW264" t="s">
        <v>74</v>
      </c>
      <c r="AX264" t="s">
        <v>74</v>
      </c>
      <c r="AY264" t="s">
        <v>74</v>
      </c>
      <c r="AZ264" t="s">
        <v>74</v>
      </c>
      <c r="BA264" t="s">
        <v>74</v>
      </c>
      <c r="BB264">
        <v>378</v>
      </c>
      <c r="BC264">
        <v>384</v>
      </c>
      <c r="BD264" t="s">
        <v>74</v>
      </c>
      <c r="BE264" t="s">
        <v>74</v>
      </c>
      <c r="BF264" t="s">
        <v>74</v>
      </c>
      <c r="BG264" t="s">
        <v>74</v>
      </c>
      <c r="BH264" t="s">
        <v>74</v>
      </c>
      <c r="BI264">
        <v>7</v>
      </c>
      <c r="BJ264" t="s">
        <v>2826</v>
      </c>
      <c r="BK264" t="s">
        <v>397</v>
      </c>
      <c r="BL264" t="s">
        <v>2827</v>
      </c>
      <c r="BM264" t="s">
        <v>2828</v>
      </c>
      <c r="BN264" t="s">
        <v>74</v>
      </c>
      <c r="BO264" t="s">
        <v>74</v>
      </c>
      <c r="BP264" t="s">
        <v>74</v>
      </c>
      <c r="BQ264" t="s">
        <v>74</v>
      </c>
      <c r="BR264" t="s">
        <v>101</v>
      </c>
      <c r="BS264" t="s">
        <v>3365</v>
      </c>
      <c r="BT264" t="str">
        <f>HYPERLINK("https%3A%2F%2Fwww.webofscience.com%2Fwos%2Fwoscc%2Ffull-record%2FWOS:000079713100063","View Full Record in Web of Science")</f>
        <v>View Full Record in Web of Science</v>
      </c>
    </row>
    <row r="265" spans="1:72" x14ac:dyDescent="0.15">
      <c r="A265" t="s">
        <v>1540</v>
      </c>
      <c r="B265" t="s">
        <v>3366</v>
      </c>
      <c r="C265" t="s">
        <v>74</v>
      </c>
      <c r="D265" t="s">
        <v>2810</v>
      </c>
      <c r="E265" t="s">
        <v>74</v>
      </c>
      <c r="F265" t="s">
        <v>3366</v>
      </c>
      <c r="G265" t="s">
        <v>74</v>
      </c>
      <c r="H265" t="s">
        <v>74</v>
      </c>
      <c r="I265" t="s">
        <v>3367</v>
      </c>
      <c r="J265" t="s">
        <v>2812</v>
      </c>
      <c r="K265" t="s">
        <v>2774</v>
      </c>
      <c r="L265" t="s">
        <v>74</v>
      </c>
      <c r="M265" t="s">
        <v>77</v>
      </c>
      <c r="N265" t="s">
        <v>379</v>
      </c>
      <c r="O265" t="s">
        <v>2814</v>
      </c>
      <c r="P265" t="s">
        <v>2815</v>
      </c>
      <c r="Q265" t="s">
        <v>2816</v>
      </c>
      <c r="R265" t="s">
        <v>74</v>
      </c>
      <c r="S265" t="s">
        <v>74</v>
      </c>
      <c r="T265" t="s">
        <v>74</v>
      </c>
      <c r="U265" t="s">
        <v>3368</v>
      </c>
      <c r="V265" t="s">
        <v>3369</v>
      </c>
      <c r="W265" t="s">
        <v>3141</v>
      </c>
      <c r="X265" t="s">
        <v>672</v>
      </c>
      <c r="Y265" t="s">
        <v>3370</v>
      </c>
      <c r="Z265" t="s">
        <v>74</v>
      </c>
      <c r="AA265" t="s">
        <v>3015</v>
      </c>
      <c r="AB265" t="s">
        <v>3016</v>
      </c>
      <c r="AC265" t="s">
        <v>74</v>
      </c>
      <c r="AD265" t="s">
        <v>74</v>
      </c>
      <c r="AE265" t="s">
        <v>74</v>
      </c>
      <c r="AF265" t="s">
        <v>74</v>
      </c>
      <c r="AG265">
        <v>30</v>
      </c>
      <c r="AH265">
        <v>64</v>
      </c>
      <c r="AI265">
        <v>68</v>
      </c>
      <c r="AJ265">
        <v>0</v>
      </c>
      <c r="AK265">
        <v>4</v>
      </c>
      <c r="AL265" t="s">
        <v>2783</v>
      </c>
      <c r="AM265" t="s">
        <v>115</v>
      </c>
      <c r="AN265" t="s">
        <v>2856</v>
      </c>
      <c r="AO265" t="s">
        <v>2785</v>
      </c>
      <c r="AP265" t="s">
        <v>74</v>
      </c>
      <c r="AQ265" t="s">
        <v>2824</v>
      </c>
      <c r="AR265" t="s">
        <v>2787</v>
      </c>
      <c r="AS265" t="s">
        <v>74</v>
      </c>
      <c r="AT265" t="s">
        <v>74</v>
      </c>
      <c r="AU265">
        <v>1998</v>
      </c>
      <c r="AV265">
        <v>27</v>
      </c>
      <c r="AW265" t="s">
        <v>74</v>
      </c>
      <c r="AX265" t="s">
        <v>74</v>
      </c>
      <c r="AY265" t="s">
        <v>74</v>
      </c>
      <c r="AZ265" t="s">
        <v>74</v>
      </c>
      <c r="BA265" t="s">
        <v>74</v>
      </c>
      <c r="BB265">
        <v>385</v>
      </c>
      <c r="BC265">
        <v>390</v>
      </c>
      <c r="BD265" t="s">
        <v>74</v>
      </c>
      <c r="BE265" t="s">
        <v>74</v>
      </c>
      <c r="BF265" t="s">
        <v>74</v>
      </c>
      <c r="BG265" t="s">
        <v>74</v>
      </c>
      <c r="BH265" t="s">
        <v>74</v>
      </c>
      <c r="BI265">
        <v>6</v>
      </c>
      <c r="BJ265" t="s">
        <v>2826</v>
      </c>
      <c r="BK265" t="s">
        <v>397</v>
      </c>
      <c r="BL265" t="s">
        <v>2827</v>
      </c>
      <c r="BM265" t="s">
        <v>2828</v>
      </c>
      <c r="BN265" t="s">
        <v>74</v>
      </c>
      <c r="BO265" t="s">
        <v>74</v>
      </c>
      <c r="BP265" t="s">
        <v>74</v>
      </c>
      <c r="BQ265" t="s">
        <v>74</v>
      </c>
      <c r="BR265" t="s">
        <v>101</v>
      </c>
      <c r="BS265" t="s">
        <v>3371</v>
      </c>
      <c r="BT265" t="str">
        <f>HYPERLINK("https%3A%2F%2Fwww.webofscience.com%2Fwos%2Fwoscc%2Ffull-record%2FWOS:000079713100064","View Full Record in Web of Science")</f>
        <v>View Full Record in Web of Science</v>
      </c>
    </row>
    <row r="266" spans="1:72" x14ac:dyDescent="0.15">
      <c r="A266" t="s">
        <v>1540</v>
      </c>
      <c r="B266" t="s">
        <v>3372</v>
      </c>
      <c r="C266" t="s">
        <v>74</v>
      </c>
      <c r="D266" t="s">
        <v>2810</v>
      </c>
      <c r="E266" t="s">
        <v>74</v>
      </c>
      <c r="F266" t="s">
        <v>3372</v>
      </c>
      <c r="G266" t="s">
        <v>74</v>
      </c>
      <c r="H266" t="s">
        <v>74</v>
      </c>
      <c r="I266" t="s">
        <v>3373</v>
      </c>
      <c r="J266" t="s">
        <v>2812</v>
      </c>
      <c r="K266" t="s">
        <v>2813</v>
      </c>
      <c r="L266" t="s">
        <v>74</v>
      </c>
      <c r="M266" t="s">
        <v>77</v>
      </c>
      <c r="N266" t="s">
        <v>379</v>
      </c>
      <c r="O266" t="s">
        <v>2814</v>
      </c>
      <c r="P266" t="s">
        <v>2815</v>
      </c>
      <c r="Q266" t="s">
        <v>2816</v>
      </c>
      <c r="R266" t="s">
        <v>74</v>
      </c>
      <c r="S266" t="s">
        <v>74</v>
      </c>
      <c r="T266" t="s">
        <v>74</v>
      </c>
      <c r="U266" t="s">
        <v>3374</v>
      </c>
      <c r="V266" t="s">
        <v>3375</v>
      </c>
      <c r="W266" t="s">
        <v>3376</v>
      </c>
      <c r="X266" t="s">
        <v>3377</v>
      </c>
      <c r="Y266" t="s">
        <v>3378</v>
      </c>
      <c r="Z266" t="s">
        <v>74</v>
      </c>
      <c r="AA266" t="s">
        <v>3379</v>
      </c>
      <c r="AB266" t="s">
        <v>3380</v>
      </c>
      <c r="AC266" t="s">
        <v>74</v>
      </c>
      <c r="AD266" t="s">
        <v>74</v>
      </c>
      <c r="AE266" t="s">
        <v>74</v>
      </c>
      <c r="AF266" t="s">
        <v>74</v>
      </c>
      <c r="AG266">
        <v>26</v>
      </c>
      <c r="AH266">
        <v>11</v>
      </c>
      <c r="AI266">
        <v>12</v>
      </c>
      <c r="AJ266">
        <v>1</v>
      </c>
      <c r="AK266">
        <v>7</v>
      </c>
      <c r="AL266" t="s">
        <v>2783</v>
      </c>
      <c r="AM266" t="s">
        <v>115</v>
      </c>
      <c r="AN266" t="s">
        <v>2784</v>
      </c>
      <c r="AO266" t="s">
        <v>2785</v>
      </c>
      <c r="AP266" t="s">
        <v>74</v>
      </c>
      <c r="AQ266" t="s">
        <v>2824</v>
      </c>
      <c r="AR266" t="s">
        <v>2825</v>
      </c>
      <c r="AS266" t="s">
        <v>74</v>
      </c>
      <c r="AT266" t="s">
        <v>74</v>
      </c>
      <c r="AU266">
        <v>1998</v>
      </c>
      <c r="AV266">
        <v>27</v>
      </c>
      <c r="AW266" t="s">
        <v>74</v>
      </c>
      <c r="AX266" t="s">
        <v>74</v>
      </c>
      <c r="AY266" t="s">
        <v>74</v>
      </c>
      <c r="AZ266" t="s">
        <v>74</v>
      </c>
      <c r="BA266" t="s">
        <v>74</v>
      </c>
      <c r="BB266">
        <v>391</v>
      </c>
      <c r="BC266">
        <v>397</v>
      </c>
      <c r="BD266" t="s">
        <v>74</v>
      </c>
      <c r="BE266" t="s">
        <v>74</v>
      </c>
      <c r="BF266" t="s">
        <v>74</v>
      </c>
      <c r="BG266" t="s">
        <v>74</v>
      </c>
      <c r="BH266" t="s">
        <v>74</v>
      </c>
      <c r="BI266">
        <v>7</v>
      </c>
      <c r="BJ266" t="s">
        <v>2826</v>
      </c>
      <c r="BK266" t="s">
        <v>397</v>
      </c>
      <c r="BL266" t="s">
        <v>2827</v>
      </c>
      <c r="BM266" t="s">
        <v>2828</v>
      </c>
      <c r="BN266" t="s">
        <v>74</v>
      </c>
      <c r="BO266" t="s">
        <v>74</v>
      </c>
      <c r="BP266" t="s">
        <v>74</v>
      </c>
      <c r="BQ266" t="s">
        <v>74</v>
      </c>
      <c r="BR266" t="s">
        <v>101</v>
      </c>
      <c r="BS266" t="s">
        <v>3381</v>
      </c>
      <c r="BT266" t="str">
        <f>HYPERLINK("https%3A%2F%2Fwww.webofscience.com%2Fwos%2Fwoscc%2Ffull-record%2FWOS:000079713100065","View Full Record in Web of Science")</f>
        <v>View Full Record in Web of Science</v>
      </c>
    </row>
    <row r="267" spans="1:72" x14ac:dyDescent="0.15">
      <c r="A267" t="s">
        <v>1540</v>
      </c>
      <c r="B267" t="s">
        <v>3382</v>
      </c>
      <c r="C267" t="s">
        <v>74</v>
      </c>
      <c r="D267" t="s">
        <v>2810</v>
      </c>
      <c r="E267" t="s">
        <v>74</v>
      </c>
      <c r="F267" t="s">
        <v>3382</v>
      </c>
      <c r="G267" t="s">
        <v>74</v>
      </c>
      <c r="H267" t="s">
        <v>74</v>
      </c>
      <c r="I267" t="s">
        <v>3383</v>
      </c>
      <c r="J267" t="s">
        <v>2812</v>
      </c>
      <c r="K267" t="s">
        <v>2774</v>
      </c>
      <c r="L267" t="s">
        <v>74</v>
      </c>
      <c r="M267" t="s">
        <v>77</v>
      </c>
      <c r="N267" t="s">
        <v>379</v>
      </c>
      <c r="O267" t="s">
        <v>2814</v>
      </c>
      <c r="P267" t="s">
        <v>2815</v>
      </c>
      <c r="Q267" t="s">
        <v>2816</v>
      </c>
      <c r="R267" t="s">
        <v>74</v>
      </c>
      <c r="S267" t="s">
        <v>74</v>
      </c>
      <c r="T267" t="s">
        <v>74</v>
      </c>
      <c r="U267" t="s">
        <v>3384</v>
      </c>
      <c r="V267" t="s">
        <v>3385</v>
      </c>
      <c r="W267" t="s">
        <v>3386</v>
      </c>
      <c r="X267" t="s">
        <v>3387</v>
      </c>
      <c r="Y267" t="s">
        <v>3388</v>
      </c>
      <c r="Z267" t="s">
        <v>74</v>
      </c>
      <c r="AA267" t="s">
        <v>74</v>
      </c>
      <c r="AB267" t="s">
        <v>3389</v>
      </c>
      <c r="AC267" t="s">
        <v>74</v>
      </c>
      <c r="AD267" t="s">
        <v>74</v>
      </c>
      <c r="AE267" t="s">
        <v>74</v>
      </c>
      <c r="AF267" t="s">
        <v>74</v>
      </c>
      <c r="AG267">
        <v>20</v>
      </c>
      <c r="AH267">
        <v>35</v>
      </c>
      <c r="AI267">
        <v>35</v>
      </c>
      <c r="AJ267">
        <v>0</v>
      </c>
      <c r="AK267">
        <v>4</v>
      </c>
      <c r="AL267" t="s">
        <v>2783</v>
      </c>
      <c r="AM267" t="s">
        <v>115</v>
      </c>
      <c r="AN267" t="s">
        <v>2856</v>
      </c>
      <c r="AO267" t="s">
        <v>2785</v>
      </c>
      <c r="AP267" t="s">
        <v>74</v>
      </c>
      <c r="AQ267" t="s">
        <v>2824</v>
      </c>
      <c r="AR267" t="s">
        <v>2787</v>
      </c>
      <c r="AS267" t="s">
        <v>74</v>
      </c>
      <c r="AT267" t="s">
        <v>74</v>
      </c>
      <c r="AU267">
        <v>1998</v>
      </c>
      <c r="AV267">
        <v>27</v>
      </c>
      <c r="AW267" t="s">
        <v>74</v>
      </c>
      <c r="AX267" t="s">
        <v>74</v>
      </c>
      <c r="AY267" t="s">
        <v>74</v>
      </c>
      <c r="AZ267" t="s">
        <v>74</v>
      </c>
      <c r="BA267" t="s">
        <v>74</v>
      </c>
      <c r="BB267">
        <v>398</v>
      </c>
      <c r="BC267">
        <v>402</v>
      </c>
      <c r="BD267" t="s">
        <v>74</v>
      </c>
      <c r="BE267" t="s">
        <v>74</v>
      </c>
      <c r="BF267" t="s">
        <v>74</v>
      </c>
      <c r="BG267" t="s">
        <v>74</v>
      </c>
      <c r="BH267" t="s">
        <v>74</v>
      </c>
      <c r="BI267">
        <v>5</v>
      </c>
      <c r="BJ267" t="s">
        <v>2826</v>
      </c>
      <c r="BK267" t="s">
        <v>397</v>
      </c>
      <c r="BL267" t="s">
        <v>2827</v>
      </c>
      <c r="BM267" t="s">
        <v>2828</v>
      </c>
      <c r="BN267" t="s">
        <v>74</v>
      </c>
      <c r="BO267" t="s">
        <v>74</v>
      </c>
      <c r="BP267" t="s">
        <v>74</v>
      </c>
      <c r="BQ267" t="s">
        <v>74</v>
      </c>
      <c r="BR267" t="s">
        <v>101</v>
      </c>
      <c r="BS267" t="s">
        <v>3390</v>
      </c>
      <c r="BT267" t="str">
        <f>HYPERLINK("https%3A%2F%2Fwww.webofscience.com%2Fwos%2Fwoscc%2Ffull-record%2FWOS:000079713100066","View Full Record in Web of Science")</f>
        <v>View Full Record in Web of Science</v>
      </c>
    </row>
    <row r="268" spans="1:72" x14ac:dyDescent="0.15">
      <c r="A268" t="s">
        <v>1540</v>
      </c>
      <c r="B268" t="s">
        <v>3391</v>
      </c>
      <c r="C268" t="s">
        <v>74</v>
      </c>
      <c r="D268" t="s">
        <v>2810</v>
      </c>
      <c r="E268" t="s">
        <v>74</v>
      </c>
      <c r="F268" t="s">
        <v>3391</v>
      </c>
      <c r="G268" t="s">
        <v>74</v>
      </c>
      <c r="H268" t="s">
        <v>74</v>
      </c>
      <c r="I268" t="s">
        <v>3392</v>
      </c>
      <c r="J268" t="s">
        <v>2812</v>
      </c>
      <c r="K268" t="s">
        <v>2774</v>
      </c>
      <c r="L268" t="s">
        <v>74</v>
      </c>
      <c r="M268" t="s">
        <v>77</v>
      </c>
      <c r="N268" t="s">
        <v>379</v>
      </c>
      <c r="O268" t="s">
        <v>2814</v>
      </c>
      <c r="P268" t="s">
        <v>2815</v>
      </c>
      <c r="Q268" t="s">
        <v>2816</v>
      </c>
      <c r="R268" t="s">
        <v>74</v>
      </c>
      <c r="S268" t="s">
        <v>74</v>
      </c>
      <c r="T268" t="s">
        <v>74</v>
      </c>
      <c r="U268" t="s">
        <v>3393</v>
      </c>
      <c r="V268" t="s">
        <v>3394</v>
      </c>
      <c r="W268" t="s">
        <v>3395</v>
      </c>
      <c r="X268" t="s">
        <v>3396</v>
      </c>
      <c r="Y268" t="s">
        <v>3397</v>
      </c>
      <c r="Z268" t="s">
        <v>74</v>
      </c>
      <c r="AA268" t="s">
        <v>74</v>
      </c>
      <c r="AB268" t="s">
        <v>74</v>
      </c>
      <c r="AC268" t="s">
        <v>74</v>
      </c>
      <c r="AD268" t="s">
        <v>74</v>
      </c>
      <c r="AE268" t="s">
        <v>74</v>
      </c>
      <c r="AF268" t="s">
        <v>74</v>
      </c>
      <c r="AG268">
        <v>34</v>
      </c>
      <c r="AH268">
        <v>9</v>
      </c>
      <c r="AI268">
        <v>9</v>
      </c>
      <c r="AJ268">
        <v>0</v>
      </c>
      <c r="AK268">
        <v>0</v>
      </c>
      <c r="AL268" t="s">
        <v>2783</v>
      </c>
      <c r="AM268" t="s">
        <v>115</v>
      </c>
      <c r="AN268" t="s">
        <v>2856</v>
      </c>
      <c r="AO268" t="s">
        <v>2785</v>
      </c>
      <c r="AP268" t="s">
        <v>74</v>
      </c>
      <c r="AQ268" t="s">
        <v>2824</v>
      </c>
      <c r="AR268" t="s">
        <v>2787</v>
      </c>
      <c r="AS268" t="s">
        <v>74</v>
      </c>
      <c r="AT268" t="s">
        <v>74</v>
      </c>
      <c r="AU268">
        <v>1998</v>
      </c>
      <c r="AV268">
        <v>27</v>
      </c>
      <c r="AW268" t="s">
        <v>74</v>
      </c>
      <c r="AX268" t="s">
        <v>74</v>
      </c>
      <c r="AY268" t="s">
        <v>74</v>
      </c>
      <c r="AZ268" t="s">
        <v>74</v>
      </c>
      <c r="BA268" t="s">
        <v>74</v>
      </c>
      <c r="BB268">
        <v>403</v>
      </c>
      <c r="BC268">
        <v>408</v>
      </c>
      <c r="BD268" t="s">
        <v>74</v>
      </c>
      <c r="BE268" t="s">
        <v>74</v>
      </c>
      <c r="BF268" t="s">
        <v>74</v>
      </c>
      <c r="BG268" t="s">
        <v>74</v>
      </c>
      <c r="BH268" t="s">
        <v>74</v>
      </c>
      <c r="BI268">
        <v>6</v>
      </c>
      <c r="BJ268" t="s">
        <v>2826</v>
      </c>
      <c r="BK268" t="s">
        <v>397</v>
      </c>
      <c r="BL268" t="s">
        <v>2827</v>
      </c>
      <c r="BM268" t="s">
        <v>2828</v>
      </c>
      <c r="BN268" t="s">
        <v>74</v>
      </c>
      <c r="BO268" t="s">
        <v>74</v>
      </c>
      <c r="BP268" t="s">
        <v>74</v>
      </c>
      <c r="BQ268" t="s">
        <v>74</v>
      </c>
      <c r="BR268" t="s">
        <v>101</v>
      </c>
      <c r="BS268" t="s">
        <v>3398</v>
      </c>
      <c r="BT268" t="str">
        <f>HYPERLINK("https%3A%2F%2Fwww.webofscience.com%2Fwos%2Fwoscc%2Ffull-record%2FWOS:000079713100067","View Full Record in Web of Science")</f>
        <v>View Full Record in Web of Science</v>
      </c>
    </row>
    <row r="269" spans="1:72" x14ac:dyDescent="0.15">
      <c r="A269" t="s">
        <v>1540</v>
      </c>
      <c r="B269" t="s">
        <v>3399</v>
      </c>
      <c r="C269" t="s">
        <v>74</v>
      </c>
      <c r="D269" t="s">
        <v>2810</v>
      </c>
      <c r="E269" t="s">
        <v>74</v>
      </c>
      <c r="F269" t="s">
        <v>3399</v>
      </c>
      <c r="G269" t="s">
        <v>74</v>
      </c>
      <c r="H269" t="s">
        <v>74</v>
      </c>
      <c r="I269" t="s">
        <v>3400</v>
      </c>
      <c r="J269" t="s">
        <v>2812</v>
      </c>
      <c r="K269" t="s">
        <v>2774</v>
      </c>
      <c r="L269" t="s">
        <v>74</v>
      </c>
      <c r="M269" t="s">
        <v>77</v>
      </c>
      <c r="N269" t="s">
        <v>379</v>
      </c>
      <c r="O269" t="s">
        <v>2814</v>
      </c>
      <c r="P269" t="s">
        <v>2815</v>
      </c>
      <c r="Q269" t="s">
        <v>2816</v>
      </c>
      <c r="R269" t="s">
        <v>74</v>
      </c>
      <c r="S269" t="s">
        <v>74</v>
      </c>
      <c r="T269" t="s">
        <v>74</v>
      </c>
      <c r="U269" t="s">
        <v>3401</v>
      </c>
      <c r="V269" t="s">
        <v>3402</v>
      </c>
      <c r="W269" t="s">
        <v>3386</v>
      </c>
      <c r="X269" t="s">
        <v>3387</v>
      </c>
      <c r="Y269" t="s">
        <v>3403</v>
      </c>
      <c r="Z269" t="s">
        <v>74</v>
      </c>
      <c r="AA269" t="s">
        <v>74</v>
      </c>
      <c r="AB269" t="s">
        <v>3404</v>
      </c>
      <c r="AC269" t="s">
        <v>74</v>
      </c>
      <c r="AD269" t="s">
        <v>74</v>
      </c>
      <c r="AE269" t="s">
        <v>74</v>
      </c>
      <c r="AF269" t="s">
        <v>74</v>
      </c>
      <c r="AG269">
        <v>7</v>
      </c>
      <c r="AH269">
        <v>7</v>
      </c>
      <c r="AI269">
        <v>7</v>
      </c>
      <c r="AJ269">
        <v>0</v>
      </c>
      <c r="AK269">
        <v>1</v>
      </c>
      <c r="AL269" t="s">
        <v>2783</v>
      </c>
      <c r="AM269" t="s">
        <v>115</v>
      </c>
      <c r="AN269" t="s">
        <v>2856</v>
      </c>
      <c r="AO269" t="s">
        <v>2785</v>
      </c>
      <c r="AP269" t="s">
        <v>74</v>
      </c>
      <c r="AQ269" t="s">
        <v>2824</v>
      </c>
      <c r="AR269" t="s">
        <v>2787</v>
      </c>
      <c r="AS269" t="s">
        <v>74</v>
      </c>
      <c r="AT269" t="s">
        <v>74</v>
      </c>
      <c r="AU269">
        <v>1998</v>
      </c>
      <c r="AV269">
        <v>27</v>
      </c>
      <c r="AW269" t="s">
        <v>74</v>
      </c>
      <c r="AX269" t="s">
        <v>74</v>
      </c>
      <c r="AY269" t="s">
        <v>74</v>
      </c>
      <c r="AZ269" t="s">
        <v>74</v>
      </c>
      <c r="BA269" t="s">
        <v>74</v>
      </c>
      <c r="BB269">
        <v>409</v>
      </c>
      <c r="BC269">
        <v>412</v>
      </c>
      <c r="BD269" t="s">
        <v>74</v>
      </c>
      <c r="BE269" t="s">
        <v>74</v>
      </c>
      <c r="BF269" t="s">
        <v>74</v>
      </c>
      <c r="BG269" t="s">
        <v>74</v>
      </c>
      <c r="BH269" t="s">
        <v>74</v>
      </c>
      <c r="BI269">
        <v>4</v>
      </c>
      <c r="BJ269" t="s">
        <v>2826</v>
      </c>
      <c r="BK269" t="s">
        <v>397</v>
      </c>
      <c r="BL269" t="s">
        <v>2827</v>
      </c>
      <c r="BM269" t="s">
        <v>2828</v>
      </c>
      <c r="BN269" t="s">
        <v>74</v>
      </c>
      <c r="BO269" t="s">
        <v>74</v>
      </c>
      <c r="BP269" t="s">
        <v>74</v>
      </c>
      <c r="BQ269" t="s">
        <v>74</v>
      </c>
      <c r="BR269" t="s">
        <v>101</v>
      </c>
      <c r="BS269" t="s">
        <v>3405</v>
      </c>
      <c r="BT269" t="str">
        <f>HYPERLINK("https%3A%2F%2Fwww.webofscience.com%2Fwos%2Fwoscc%2Ffull-record%2FWOS:000079713100068","View Full Record in Web of Science")</f>
        <v>View Full Record in Web of Science</v>
      </c>
    </row>
    <row r="270" spans="1:72" x14ac:dyDescent="0.15">
      <c r="A270" t="s">
        <v>1540</v>
      </c>
      <c r="B270" t="s">
        <v>3406</v>
      </c>
      <c r="C270" t="s">
        <v>74</v>
      </c>
      <c r="D270" t="s">
        <v>2810</v>
      </c>
      <c r="E270" t="s">
        <v>74</v>
      </c>
      <c r="F270" t="s">
        <v>3406</v>
      </c>
      <c r="G270" t="s">
        <v>74</v>
      </c>
      <c r="H270" t="s">
        <v>74</v>
      </c>
      <c r="I270" t="s">
        <v>3407</v>
      </c>
      <c r="J270" t="s">
        <v>2812</v>
      </c>
      <c r="K270" t="s">
        <v>2774</v>
      </c>
      <c r="L270" t="s">
        <v>74</v>
      </c>
      <c r="M270" t="s">
        <v>77</v>
      </c>
      <c r="N270" t="s">
        <v>379</v>
      </c>
      <c r="O270" t="s">
        <v>2814</v>
      </c>
      <c r="P270" t="s">
        <v>2815</v>
      </c>
      <c r="Q270" t="s">
        <v>2816</v>
      </c>
      <c r="R270" t="s">
        <v>74</v>
      </c>
      <c r="S270" t="s">
        <v>74</v>
      </c>
      <c r="T270" t="s">
        <v>74</v>
      </c>
      <c r="U270" t="s">
        <v>3408</v>
      </c>
      <c r="V270" t="s">
        <v>3409</v>
      </c>
      <c r="W270" t="s">
        <v>3141</v>
      </c>
      <c r="X270" t="s">
        <v>672</v>
      </c>
      <c r="Y270" t="s">
        <v>3410</v>
      </c>
      <c r="Z270" t="s">
        <v>74</v>
      </c>
      <c r="AA270" t="s">
        <v>74</v>
      </c>
      <c r="AB270" t="s">
        <v>2920</v>
      </c>
      <c r="AC270" t="s">
        <v>74</v>
      </c>
      <c r="AD270" t="s">
        <v>74</v>
      </c>
      <c r="AE270" t="s">
        <v>74</v>
      </c>
      <c r="AF270" t="s">
        <v>74</v>
      </c>
      <c r="AG270">
        <v>32</v>
      </c>
      <c r="AH270">
        <v>5</v>
      </c>
      <c r="AI270">
        <v>7</v>
      </c>
      <c r="AJ270">
        <v>0</v>
      </c>
      <c r="AK270">
        <v>1</v>
      </c>
      <c r="AL270" t="s">
        <v>2783</v>
      </c>
      <c r="AM270" t="s">
        <v>115</v>
      </c>
      <c r="AN270" t="s">
        <v>2856</v>
      </c>
      <c r="AO270" t="s">
        <v>2785</v>
      </c>
      <c r="AP270" t="s">
        <v>74</v>
      </c>
      <c r="AQ270" t="s">
        <v>2824</v>
      </c>
      <c r="AR270" t="s">
        <v>2787</v>
      </c>
      <c r="AS270" t="s">
        <v>74</v>
      </c>
      <c r="AT270" t="s">
        <v>74</v>
      </c>
      <c r="AU270">
        <v>1998</v>
      </c>
      <c r="AV270">
        <v>27</v>
      </c>
      <c r="AW270" t="s">
        <v>74</v>
      </c>
      <c r="AX270" t="s">
        <v>74</v>
      </c>
      <c r="AY270" t="s">
        <v>74</v>
      </c>
      <c r="AZ270" t="s">
        <v>74</v>
      </c>
      <c r="BA270" t="s">
        <v>74</v>
      </c>
      <c r="BB270">
        <v>413</v>
      </c>
      <c r="BC270">
        <v>419</v>
      </c>
      <c r="BD270" t="s">
        <v>74</v>
      </c>
      <c r="BE270" t="s">
        <v>74</v>
      </c>
      <c r="BF270" t="s">
        <v>74</v>
      </c>
      <c r="BG270" t="s">
        <v>74</v>
      </c>
      <c r="BH270" t="s">
        <v>74</v>
      </c>
      <c r="BI270">
        <v>7</v>
      </c>
      <c r="BJ270" t="s">
        <v>2826</v>
      </c>
      <c r="BK270" t="s">
        <v>397</v>
      </c>
      <c r="BL270" t="s">
        <v>2827</v>
      </c>
      <c r="BM270" t="s">
        <v>2828</v>
      </c>
      <c r="BN270" t="s">
        <v>74</v>
      </c>
      <c r="BO270" t="s">
        <v>74</v>
      </c>
      <c r="BP270" t="s">
        <v>74</v>
      </c>
      <c r="BQ270" t="s">
        <v>74</v>
      </c>
      <c r="BR270" t="s">
        <v>101</v>
      </c>
      <c r="BS270" t="s">
        <v>3411</v>
      </c>
      <c r="BT270" t="str">
        <f>HYPERLINK("https%3A%2F%2Fwww.webofscience.com%2Fwos%2Fwoscc%2Ffull-record%2FWOS:000079713100069","View Full Record in Web of Science")</f>
        <v>View Full Record in Web of Science</v>
      </c>
    </row>
    <row r="271" spans="1:72" x14ac:dyDescent="0.15">
      <c r="A271" t="s">
        <v>1540</v>
      </c>
      <c r="B271" t="s">
        <v>3412</v>
      </c>
      <c r="C271" t="s">
        <v>74</v>
      </c>
      <c r="D271" t="s">
        <v>2810</v>
      </c>
      <c r="E271" t="s">
        <v>74</v>
      </c>
      <c r="F271" t="s">
        <v>3412</v>
      </c>
      <c r="G271" t="s">
        <v>74</v>
      </c>
      <c r="H271" t="s">
        <v>74</v>
      </c>
      <c r="I271" t="s">
        <v>3413</v>
      </c>
      <c r="J271" t="s">
        <v>2812</v>
      </c>
      <c r="K271" t="s">
        <v>2774</v>
      </c>
      <c r="L271" t="s">
        <v>74</v>
      </c>
      <c r="M271" t="s">
        <v>77</v>
      </c>
      <c r="N271" t="s">
        <v>379</v>
      </c>
      <c r="O271" t="s">
        <v>2814</v>
      </c>
      <c r="P271" t="s">
        <v>2815</v>
      </c>
      <c r="Q271" t="s">
        <v>2816</v>
      </c>
      <c r="R271" t="s">
        <v>74</v>
      </c>
      <c r="S271" t="s">
        <v>74</v>
      </c>
      <c r="T271" t="s">
        <v>74</v>
      </c>
      <c r="U271" t="s">
        <v>3414</v>
      </c>
      <c r="V271" t="s">
        <v>3415</v>
      </c>
      <c r="W271" t="s">
        <v>3416</v>
      </c>
      <c r="X271" t="s">
        <v>3417</v>
      </c>
      <c r="Y271" t="s">
        <v>3418</v>
      </c>
      <c r="Z271" t="s">
        <v>74</v>
      </c>
      <c r="AA271" t="s">
        <v>3419</v>
      </c>
      <c r="AB271" t="s">
        <v>3420</v>
      </c>
      <c r="AC271" t="s">
        <v>74</v>
      </c>
      <c r="AD271" t="s">
        <v>74</v>
      </c>
      <c r="AE271" t="s">
        <v>74</v>
      </c>
      <c r="AF271" t="s">
        <v>74</v>
      </c>
      <c r="AG271">
        <v>45</v>
      </c>
      <c r="AH271">
        <v>179</v>
      </c>
      <c r="AI271">
        <v>204</v>
      </c>
      <c r="AJ271">
        <v>2</v>
      </c>
      <c r="AK271">
        <v>39</v>
      </c>
      <c r="AL271" t="s">
        <v>2783</v>
      </c>
      <c r="AM271" t="s">
        <v>115</v>
      </c>
      <c r="AN271" t="s">
        <v>2856</v>
      </c>
      <c r="AO271" t="s">
        <v>2785</v>
      </c>
      <c r="AP271" t="s">
        <v>74</v>
      </c>
      <c r="AQ271" t="s">
        <v>2824</v>
      </c>
      <c r="AR271" t="s">
        <v>2787</v>
      </c>
      <c r="AS271" t="s">
        <v>74</v>
      </c>
      <c r="AT271" t="s">
        <v>74</v>
      </c>
      <c r="AU271">
        <v>1998</v>
      </c>
      <c r="AV271">
        <v>27</v>
      </c>
      <c r="AW271" t="s">
        <v>74</v>
      </c>
      <c r="AX271" t="s">
        <v>74</v>
      </c>
      <c r="AY271" t="s">
        <v>74</v>
      </c>
      <c r="AZ271" t="s">
        <v>74</v>
      </c>
      <c r="BA271" t="s">
        <v>74</v>
      </c>
      <c r="BB271">
        <v>420</v>
      </c>
      <c r="BC271">
        <v>426</v>
      </c>
      <c r="BD271" t="s">
        <v>74</v>
      </c>
      <c r="BE271" t="s">
        <v>74</v>
      </c>
      <c r="BF271" t="s">
        <v>74</v>
      </c>
      <c r="BG271" t="s">
        <v>74</v>
      </c>
      <c r="BH271" t="s">
        <v>74</v>
      </c>
      <c r="BI271">
        <v>7</v>
      </c>
      <c r="BJ271" t="s">
        <v>2826</v>
      </c>
      <c r="BK271" t="s">
        <v>397</v>
      </c>
      <c r="BL271" t="s">
        <v>2827</v>
      </c>
      <c r="BM271" t="s">
        <v>2828</v>
      </c>
      <c r="BN271" t="s">
        <v>74</v>
      </c>
      <c r="BO271" t="s">
        <v>74</v>
      </c>
      <c r="BP271" t="s">
        <v>74</v>
      </c>
      <c r="BQ271" t="s">
        <v>74</v>
      </c>
      <c r="BR271" t="s">
        <v>101</v>
      </c>
      <c r="BS271" t="s">
        <v>3421</v>
      </c>
      <c r="BT271" t="str">
        <f>HYPERLINK("https%3A%2F%2Fwww.webofscience.com%2Fwos%2Fwoscc%2Ffull-record%2FWOS:000079713100070","View Full Record in Web of Science")</f>
        <v>View Full Record in Web of Science</v>
      </c>
    </row>
    <row r="272" spans="1:72" x14ac:dyDescent="0.15">
      <c r="A272" t="s">
        <v>1540</v>
      </c>
      <c r="B272" t="s">
        <v>3422</v>
      </c>
      <c r="C272" t="s">
        <v>74</v>
      </c>
      <c r="D272" t="s">
        <v>2810</v>
      </c>
      <c r="E272" t="s">
        <v>74</v>
      </c>
      <c r="F272" t="s">
        <v>3422</v>
      </c>
      <c r="G272" t="s">
        <v>74</v>
      </c>
      <c r="H272" t="s">
        <v>74</v>
      </c>
      <c r="I272" t="s">
        <v>3423</v>
      </c>
      <c r="J272" t="s">
        <v>2812</v>
      </c>
      <c r="K272" t="s">
        <v>2774</v>
      </c>
      <c r="L272" t="s">
        <v>74</v>
      </c>
      <c r="M272" t="s">
        <v>77</v>
      </c>
      <c r="N272" t="s">
        <v>379</v>
      </c>
      <c r="O272" t="s">
        <v>2814</v>
      </c>
      <c r="P272" t="s">
        <v>2815</v>
      </c>
      <c r="Q272" t="s">
        <v>2816</v>
      </c>
      <c r="R272" t="s">
        <v>74</v>
      </c>
      <c r="S272" t="s">
        <v>74</v>
      </c>
      <c r="T272" t="s">
        <v>74</v>
      </c>
      <c r="U272" t="s">
        <v>3424</v>
      </c>
      <c r="V272" t="s">
        <v>3425</v>
      </c>
      <c r="W272" t="s">
        <v>3141</v>
      </c>
      <c r="X272" t="s">
        <v>672</v>
      </c>
      <c r="Y272" t="s">
        <v>3426</v>
      </c>
      <c r="Z272" t="s">
        <v>74</v>
      </c>
      <c r="AA272" t="s">
        <v>3427</v>
      </c>
      <c r="AB272" t="s">
        <v>74</v>
      </c>
      <c r="AC272" t="s">
        <v>74</v>
      </c>
      <c r="AD272" t="s">
        <v>74</v>
      </c>
      <c r="AE272" t="s">
        <v>74</v>
      </c>
      <c r="AF272" t="s">
        <v>74</v>
      </c>
      <c r="AG272">
        <v>24</v>
      </c>
      <c r="AH272">
        <v>5</v>
      </c>
      <c r="AI272">
        <v>5</v>
      </c>
      <c r="AJ272">
        <v>0</v>
      </c>
      <c r="AK272">
        <v>0</v>
      </c>
      <c r="AL272" t="s">
        <v>2783</v>
      </c>
      <c r="AM272" t="s">
        <v>115</v>
      </c>
      <c r="AN272" t="s">
        <v>2856</v>
      </c>
      <c r="AO272" t="s">
        <v>2785</v>
      </c>
      <c r="AP272" t="s">
        <v>74</v>
      </c>
      <c r="AQ272" t="s">
        <v>2824</v>
      </c>
      <c r="AR272" t="s">
        <v>2787</v>
      </c>
      <c r="AS272" t="s">
        <v>74</v>
      </c>
      <c r="AT272" t="s">
        <v>74</v>
      </c>
      <c r="AU272">
        <v>1998</v>
      </c>
      <c r="AV272">
        <v>27</v>
      </c>
      <c r="AW272" t="s">
        <v>74</v>
      </c>
      <c r="AX272" t="s">
        <v>74</v>
      </c>
      <c r="AY272" t="s">
        <v>74</v>
      </c>
      <c r="AZ272" t="s">
        <v>74</v>
      </c>
      <c r="BA272" t="s">
        <v>74</v>
      </c>
      <c r="BB272">
        <v>427</v>
      </c>
      <c r="BC272">
        <v>432</v>
      </c>
      <c r="BD272" t="s">
        <v>74</v>
      </c>
      <c r="BE272" t="s">
        <v>74</v>
      </c>
      <c r="BF272" t="s">
        <v>74</v>
      </c>
      <c r="BG272" t="s">
        <v>74</v>
      </c>
      <c r="BH272" t="s">
        <v>74</v>
      </c>
      <c r="BI272">
        <v>6</v>
      </c>
      <c r="BJ272" t="s">
        <v>2826</v>
      </c>
      <c r="BK272" t="s">
        <v>397</v>
      </c>
      <c r="BL272" t="s">
        <v>2827</v>
      </c>
      <c r="BM272" t="s">
        <v>2828</v>
      </c>
      <c r="BN272" t="s">
        <v>74</v>
      </c>
      <c r="BO272" t="s">
        <v>74</v>
      </c>
      <c r="BP272" t="s">
        <v>74</v>
      </c>
      <c r="BQ272" t="s">
        <v>74</v>
      </c>
      <c r="BR272" t="s">
        <v>101</v>
      </c>
      <c r="BS272" t="s">
        <v>3428</v>
      </c>
      <c r="BT272" t="str">
        <f>HYPERLINK("https%3A%2F%2Fwww.webofscience.com%2Fwos%2Fwoscc%2Ffull-record%2FWOS:000079713100071","View Full Record in Web of Science")</f>
        <v>View Full Record in Web of Science</v>
      </c>
    </row>
    <row r="273" spans="1:72" x14ac:dyDescent="0.15">
      <c r="A273" t="s">
        <v>1540</v>
      </c>
      <c r="B273" t="s">
        <v>3429</v>
      </c>
      <c r="C273" t="s">
        <v>74</v>
      </c>
      <c r="D273" t="s">
        <v>2810</v>
      </c>
      <c r="E273" t="s">
        <v>74</v>
      </c>
      <c r="F273" t="s">
        <v>3429</v>
      </c>
      <c r="G273" t="s">
        <v>74</v>
      </c>
      <c r="H273" t="s">
        <v>74</v>
      </c>
      <c r="I273" t="s">
        <v>3430</v>
      </c>
      <c r="J273" t="s">
        <v>2812</v>
      </c>
      <c r="K273" t="s">
        <v>2774</v>
      </c>
      <c r="L273" t="s">
        <v>74</v>
      </c>
      <c r="M273" t="s">
        <v>77</v>
      </c>
      <c r="N273" t="s">
        <v>379</v>
      </c>
      <c r="O273" t="s">
        <v>2814</v>
      </c>
      <c r="P273" t="s">
        <v>2815</v>
      </c>
      <c r="Q273" t="s">
        <v>2816</v>
      </c>
      <c r="R273" t="s">
        <v>74</v>
      </c>
      <c r="S273" t="s">
        <v>74</v>
      </c>
      <c r="T273" t="s">
        <v>74</v>
      </c>
      <c r="U273" t="s">
        <v>3431</v>
      </c>
      <c r="V273" t="s">
        <v>3432</v>
      </c>
      <c r="W273" t="s">
        <v>3433</v>
      </c>
      <c r="X273" t="s">
        <v>3434</v>
      </c>
      <c r="Y273" t="s">
        <v>3435</v>
      </c>
      <c r="Z273" t="s">
        <v>74</v>
      </c>
      <c r="AA273" t="s">
        <v>3143</v>
      </c>
      <c r="AB273" t="s">
        <v>3436</v>
      </c>
      <c r="AC273" t="s">
        <v>74</v>
      </c>
      <c r="AD273" t="s">
        <v>74</v>
      </c>
      <c r="AE273" t="s">
        <v>74</v>
      </c>
      <c r="AF273" t="s">
        <v>74</v>
      </c>
      <c r="AG273">
        <v>21</v>
      </c>
      <c r="AH273">
        <v>14</v>
      </c>
      <c r="AI273">
        <v>15</v>
      </c>
      <c r="AJ273">
        <v>0</v>
      </c>
      <c r="AK273">
        <v>1</v>
      </c>
      <c r="AL273" t="s">
        <v>2783</v>
      </c>
      <c r="AM273" t="s">
        <v>115</v>
      </c>
      <c r="AN273" t="s">
        <v>2856</v>
      </c>
      <c r="AO273" t="s">
        <v>2785</v>
      </c>
      <c r="AP273" t="s">
        <v>74</v>
      </c>
      <c r="AQ273" t="s">
        <v>2824</v>
      </c>
      <c r="AR273" t="s">
        <v>2787</v>
      </c>
      <c r="AS273" t="s">
        <v>74</v>
      </c>
      <c r="AT273" t="s">
        <v>74</v>
      </c>
      <c r="AU273">
        <v>1998</v>
      </c>
      <c r="AV273">
        <v>27</v>
      </c>
      <c r="AW273" t="s">
        <v>74</v>
      </c>
      <c r="AX273" t="s">
        <v>74</v>
      </c>
      <c r="AY273" t="s">
        <v>74</v>
      </c>
      <c r="AZ273" t="s">
        <v>74</v>
      </c>
      <c r="BA273" t="s">
        <v>74</v>
      </c>
      <c r="BB273">
        <v>433</v>
      </c>
      <c r="BC273">
        <v>437</v>
      </c>
      <c r="BD273" t="s">
        <v>74</v>
      </c>
      <c r="BE273" t="s">
        <v>74</v>
      </c>
      <c r="BF273" t="s">
        <v>74</v>
      </c>
      <c r="BG273" t="s">
        <v>74</v>
      </c>
      <c r="BH273" t="s">
        <v>74</v>
      </c>
      <c r="BI273">
        <v>5</v>
      </c>
      <c r="BJ273" t="s">
        <v>2826</v>
      </c>
      <c r="BK273" t="s">
        <v>397</v>
      </c>
      <c r="BL273" t="s">
        <v>2827</v>
      </c>
      <c r="BM273" t="s">
        <v>2828</v>
      </c>
      <c r="BN273" t="s">
        <v>74</v>
      </c>
      <c r="BO273" t="s">
        <v>74</v>
      </c>
      <c r="BP273" t="s">
        <v>74</v>
      </c>
      <c r="BQ273" t="s">
        <v>74</v>
      </c>
      <c r="BR273" t="s">
        <v>101</v>
      </c>
      <c r="BS273" t="s">
        <v>3437</v>
      </c>
      <c r="BT273" t="str">
        <f>HYPERLINK("https%3A%2F%2Fwww.webofscience.com%2Fwos%2Fwoscc%2Ffull-record%2FWOS:000079713100072","View Full Record in Web of Science")</f>
        <v>View Full Record in Web of Science</v>
      </c>
    </row>
    <row r="274" spans="1:72" x14ac:dyDescent="0.15">
      <c r="A274" t="s">
        <v>1540</v>
      </c>
      <c r="B274" t="s">
        <v>3438</v>
      </c>
      <c r="C274" t="s">
        <v>74</v>
      </c>
      <c r="D274" t="s">
        <v>2810</v>
      </c>
      <c r="E274" t="s">
        <v>74</v>
      </c>
      <c r="F274" t="s">
        <v>3438</v>
      </c>
      <c r="G274" t="s">
        <v>74</v>
      </c>
      <c r="H274" t="s">
        <v>74</v>
      </c>
      <c r="I274" t="s">
        <v>3439</v>
      </c>
      <c r="J274" t="s">
        <v>2812</v>
      </c>
      <c r="K274" t="s">
        <v>2813</v>
      </c>
      <c r="L274" t="s">
        <v>74</v>
      </c>
      <c r="M274" t="s">
        <v>77</v>
      </c>
      <c r="N274" t="s">
        <v>379</v>
      </c>
      <c r="O274" t="s">
        <v>2814</v>
      </c>
      <c r="P274" t="s">
        <v>2815</v>
      </c>
      <c r="Q274" t="s">
        <v>2816</v>
      </c>
      <c r="R274" t="s">
        <v>74</v>
      </c>
      <c r="S274" t="s">
        <v>74</v>
      </c>
      <c r="T274" t="s">
        <v>74</v>
      </c>
      <c r="U274" t="s">
        <v>3440</v>
      </c>
      <c r="V274" t="s">
        <v>3441</v>
      </c>
      <c r="W274" t="s">
        <v>3442</v>
      </c>
      <c r="X274" t="s">
        <v>3443</v>
      </c>
      <c r="Y274" t="s">
        <v>3444</v>
      </c>
      <c r="Z274" t="s">
        <v>74</v>
      </c>
      <c r="AA274" t="s">
        <v>3445</v>
      </c>
      <c r="AB274" t="s">
        <v>3446</v>
      </c>
      <c r="AC274" t="s">
        <v>74</v>
      </c>
      <c r="AD274" t="s">
        <v>74</v>
      </c>
      <c r="AE274" t="s">
        <v>74</v>
      </c>
      <c r="AF274" t="s">
        <v>74</v>
      </c>
      <c r="AG274">
        <v>17</v>
      </c>
      <c r="AH274">
        <v>59</v>
      </c>
      <c r="AI274">
        <v>63</v>
      </c>
      <c r="AJ274">
        <v>1</v>
      </c>
      <c r="AK274">
        <v>7</v>
      </c>
      <c r="AL274" t="s">
        <v>2783</v>
      </c>
      <c r="AM274" t="s">
        <v>115</v>
      </c>
      <c r="AN274" t="s">
        <v>2784</v>
      </c>
      <c r="AO274" t="s">
        <v>2785</v>
      </c>
      <c r="AP274" t="s">
        <v>74</v>
      </c>
      <c r="AQ274" t="s">
        <v>2824</v>
      </c>
      <c r="AR274" t="s">
        <v>2825</v>
      </c>
      <c r="AS274" t="s">
        <v>74</v>
      </c>
      <c r="AT274" t="s">
        <v>74</v>
      </c>
      <c r="AU274">
        <v>1998</v>
      </c>
      <c r="AV274">
        <v>27</v>
      </c>
      <c r="AW274" t="s">
        <v>74</v>
      </c>
      <c r="AX274" t="s">
        <v>74</v>
      </c>
      <c r="AY274" t="s">
        <v>74</v>
      </c>
      <c r="AZ274" t="s">
        <v>74</v>
      </c>
      <c r="BA274" t="s">
        <v>74</v>
      </c>
      <c r="BB274">
        <v>438</v>
      </c>
      <c r="BC274">
        <v>442</v>
      </c>
      <c r="BD274" t="s">
        <v>74</v>
      </c>
      <c r="BE274" t="s">
        <v>74</v>
      </c>
      <c r="BF274" t="s">
        <v>74</v>
      </c>
      <c r="BG274" t="s">
        <v>74</v>
      </c>
      <c r="BH274" t="s">
        <v>74</v>
      </c>
      <c r="BI274">
        <v>5</v>
      </c>
      <c r="BJ274" t="s">
        <v>2826</v>
      </c>
      <c r="BK274" t="s">
        <v>397</v>
      </c>
      <c r="BL274" t="s">
        <v>2827</v>
      </c>
      <c r="BM274" t="s">
        <v>2828</v>
      </c>
      <c r="BN274" t="s">
        <v>74</v>
      </c>
      <c r="BO274" t="s">
        <v>74</v>
      </c>
      <c r="BP274" t="s">
        <v>74</v>
      </c>
      <c r="BQ274" t="s">
        <v>74</v>
      </c>
      <c r="BR274" t="s">
        <v>101</v>
      </c>
      <c r="BS274" t="s">
        <v>3447</v>
      </c>
      <c r="BT274" t="str">
        <f>HYPERLINK("https%3A%2F%2Fwww.webofscience.com%2Fwos%2Fwoscc%2Ffull-record%2FWOS:000079713100073","View Full Record in Web of Science")</f>
        <v>View Full Record in Web of Science</v>
      </c>
    </row>
    <row r="275" spans="1:72" x14ac:dyDescent="0.15">
      <c r="A275" t="s">
        <v>1540</v>
      </c>
      <c r="B275" t="s">
        <v>3448</v>
      </c>
      <c r="C275" t="s">
        <v>74</v>
      </c>
      <c r="D275" t="s">
        <v>2810</v>
      </c>
      <c r="E275" t="s">
        <v>74</v>
      </c>
      <c r="F275" t="s">
        <v>3448</v>
      </c>
      <c r="G275" t="s">
        <v>74</v>
      </c>
      <c r="H275" t="s">
        <v>74</v>
      </c>
      <c r="I275" t="s">
        <v>3449</v>
      </c>
      <c r="J275" t="s">
        <v>2812</v>
      </c>
      <c r="K275" t="s">
        <v>2774</v>
      </c>
      <c r="L275" t="s">
        <v>74</v>
      </c>
      <c r="M275" t="s">
        <v>77</v>
      </c>
      <c r="N275" t="s">
        <v>379</v>
      </c>
      <c r="O275" t="s">
        <v>2814</v>
      </c>
      <c r="P275" t="s">
        <v>2815</v>
      </c>
      <c r="Q275" t="s">
        <v>2816</v>
      </c>
      <c r="R275" t="s">
        <v>74</v>
      </c>
      <c r="S275" t="s">
        <v>74</v>
      </c>
      <c r="T275" t="s">
        <v>74</v>
      </c>
      <c r="U275" t="s">
        <v>74</v>
      </c>
      <c r="V275" t="s">
        <v>3450</v>
      </c>
      <c r="W275" t="s">
        <v>3451</v>
      </c>
      <c r="X275" t="s">
        <v>3452</v>
      </c>
      <c r="Y275" t="s">
        <v>3453</v>
      </c>
      <c r="Z275" t="s">
        <v>74</v>
      </c>
      <c r="AA275" t="s">
        <v>74</v>
      </c>
      <c r="AB275" t="s">
        <v>3454</v>
      </c>
      <c r="AC275" t="s">
        <v>74</v>
      </c>
      <c r="AD275" t="s">
        <v>74</v>
      </c>
      <c r="AE275" t="s">
        <v>74</v>
      </c>
      <c r="AF275" t="s">
        <v>74</v>
      </c>
      <c r="AG275">
        <v>10</v>
      </c>
      <c r="AH275">
        <v>15</v>
      </c>
      <c r="AI275">
        <v>15</v>
      </c>
      <c r="AJ275">
        <v>0</v>
      </c>
      <c r="AK275">
        <v>2</v>
      </c>
      <c r="AL275" t="s">
        <v>2783</v>
      </c>
      <c r="AM275" t="s">
        <v>115</v>
      </c>
      <c r="AN275" t="s">
        <v>2856</v>
      </c>
      <c r="AO275" t="s">
        <v>2785</v>
      </c>
      <c r="AP275" t="s">
        <v>74</v>
      </c>
      <c r="AQ275" t="s">
        <v>2824</v>
      </c>
      <c r="AR275" t="s">
        <v>2787</v>
      </c>
      <c r="AS275" t="s">
        <v>74</v>
      </c>
      <c r="AT275" t="s">
        <v>74</v>
      </c>
      <c r="AU275">
        <v>1998</v>
      </c>
      <c r="AV275">
        <v>27</v>
      </c>
      <c r="AW275" t="s">
        <v>74</v>
      </c>
      <c r="AX275" t="s">
        <v>74</v>
      </c>
      <c r="AY275" t="s">
        <v>74</v>
      </c>
      <c r="AZ275" t="s">
        <v>74</v>
      </c>
      <c r="BA275" t="s">
        <v>74</v>
      </c>
      <c r="BB275">
        <v>443</v>
      </c>
      <c r="BC275">
        <v>448</v>
      </c>
      <c r="BD275" t="s">
        <v>74</v>
      </c>
      <c r="BE275" t="s">
        <v>74</v>
      </c>
      <c r="BF275" t="s">
        <v>74</v>
      </c>
      <c r="BG275" t="s">
        <v>74</v>
      </c>
      <c r="BH275" t="s">
        <v>74</v>
      </c>
      <c r="BI275">
        <v>6</v>
      </c>
      <c r="BJ275" t="s">
        <v>2826</v>
      </c>
      <c r="BK275" t="s">
        <v>397</v>
      </c>
      <c r="BL275" t="s">
        <v>2827</v>
      </c>
      <c r="BM275" t="s">
        <v>2828</v>
      </c>
      <c r="BN275" t="s">
        <v>74</v>
      </c>
      <c r="BO275" t="s">
        <v>74</v>
      </c>
      <c r="BP275" t="s">
        <v>74</v>
      </c>
      <c r="BQ275" t="s">
        <v>74</v>
      </c>
      <c r="BR275" t="s">
        <v>101</v>
      </c>
      <c r="BS275" t="s">
        <v>3455</v>
      </c>
      <c r="BT275" t="str">
        <f>HYPERLINK("https%3A%2F%2Fwww.webofscience.com%2Fwos%2Fwoscc%2Ffull-record%2FWOS:000079713100074","View Full Record in Web of Science")</f>
        <v>View Full Record in Web of Science</v>
      </c>
    </row>
    <row r="276" spans="1:72" x14ac:dyDescent="0.15">
      <c r="A276" t="s">
        <v>1540</v>
      </c>
      <c r="B276" t="s">
        <v>3456</v>
      </c>
      <c r="C276" t="s">
        <v>74</v>
      </c>
      <c r="D276" t="s">
        <v>2810</v>
      </c>
      <c r="E276" t="s">
        <v>74</v>
      </c>
      <c r="F276" t="s">
        <v>3456</v>
      </c>
      <c r="G276" t="s">
        <v>74</v>
      </c>
      <c r="H276" t="s">
        <v>74</v>
      </c>
      <c r="I276" t="s">
        <v>3457</v>
      </c>
      <c r="J276" t="s">
        <v>2812</v>
      </c>
      <c r="K276" t="s">
        <v>2774</v>
      </c>
      <c r="L276" t="s">
        <v>74</v>
      </c>
      <c r="M276" t="s">
        <v>77</v>
      </c>
      <c r="N276" t="s">
        <v>379</v>
      </c>
      <c r="O276" t="s">
        <v>2814</v>
      </c>
      <c r="P276" t="s">
        <v>2815</v>
      </c>
      <c r="Q276" t="s">
        <v>2816</v>
      </c>
      <c r="R276" t="s">
        <v>74</v>
      </c>
      <c r="S276" t="s">
        <v>74</v>
      </c>
      <c r="T276" t="s">
        <v>74</v>
      </c>
      <c r="U276" t="s">
        <v>3458</v>
      </c>
      <c r="V276" t="s">
        <v>3459</v>
      </c>
      <c r="W276" t="s">
        <v>3141</v>
      </c>
      <c r="X276" t="s">
        <v>672</v>
      </c>
      <c r="Y276" t="s">
        <v>3460</v>
      </c>
      <c r="Z276" t="s">
        <v>74</v>
      </c>
      <c r="AA276" t="s">
        <v>3427</v>
      </c>
      <c r="AB276" t="s">
        <v>3461</v>
      </c>
      <c r="AC276" t="s">
        <v>74</v>
      </c>
      <c r="AD276" t="s">
        <v>74</v>
      </c>
      <c r="AE276" t="s">
        <v>74</v>
      </c>
      <c r="AF276" t="s">
        <v>74</v>
      </c>
      <c r="AG276">
        <v>14</v>
      </c>
      <c r="AH276">
        <v>8</v>
      </c>
      <c r="AI276">
        <v>9</v>
      </c>
      <c r="AJ276">
        <v>0</v>
      </c>
      <c r="AK276">
        <v>1</v>
      </c>
      <c r="AL276" t="s">
        <v>2783</v>
      </c>
      <c r="AM276" t="s">
        <v>115</v>
      </c>
      <c r="AN276" t="s">
        <v>2856</v>
      </c>
      <c r="AO276" t="s">
        <v>2785</v>
      </c>
      <c r="AP276" t="s">
        <v>74</v>
      </c>
      <c r="AQ276" t="s">
        <v>2824</v>
      </c>
      <c r="AR276" t="s">
        <v>2787</v>
      </c>
      <c r="AS276" t="s">
        <v>74</v>
      </c>
      <c r="AT276" t="s">
        <v>74</v>
      </c>
      <c r="AU276">
        <v>1998</v>
      </c>
      <c r="AV276">
        <v>27</v>
      </c>
      <c r="AW276" t="s">
        <v>74</v>
      </c>
      <c r="AX276" t="s">
        <v>74</v>
      </c>
      <c r="AY276" t="s">
        <v>74</v>
      </c>
      <c r="AZ276" t="s">
        <v>74</v>
      </c>
      <c r="BA276" t="s">
        <v>74</v>
      </c>
      <c r="BB276">
        <v>449</v>
      </c>
      <c r="BC276">
        <v>454</v>
      </c>
      <c r="BD276" t="s">
        <v>74</v>
      </c>
      <c r="BE276" t="s">
        <v>74</v>
      </c>
      <c r="BF276" t="s">
        <v>74</v>
      </c>
      <c r="BG276" t="s">
        <v>74</v>
      </c>
      <c r="BH276" t="s">
        <v>74</v>
      </c>
      <c r="BI276">
        <v>6</v>
      </c>
      <c r="BJ276" t="s">
        <v>2826</v>
      </c>
      <c r="BK276" t="s">
        <v>397</v>
      </c>
      <c r="BL276" t="s">
        <v>2827</v>
      </c>
      <c r="BM276" t="s">
        <v>2828</v>
      </c>
      <c r="BN276" t="s">
        <v>74</v>
      </c>
      <c r="BO276" t="s">
        <v>74</v>
      </c>
      <c r="BP276" t="s">
        <v>74</v>
      </c>
      <c r="BQ276" t="s">
        <v>74</v>
      </c>
      <c r="BR276" t="s">
        <v>101</v>
      </c>
      <c r="BS276" t="s">
        <v>3462</v>
      </c>
      <c r="BT276" t="str">
        <f>HYPERLINK("https%3A%2F%2Fwww.webofscience.com%2Fwos%2Fwoscc%2Ffull-record%2FWOS:000079713100075","View Full Record in Web of Science")</f>
        <v>View Full Record in Web of Science</v>
      </c>
    </row>
    <row r="277" spans="1:72" x14ac:dyDescent="0.15">
      <c r="A277" t="s">
        <v>1540</v>
      </c>
      <c r="B277" t="s">
        <v>3463</v>
      </c>
      <c r="C277" t="s">
        <v>74</v>
      </c>
      <c r="D277" t="s">
        <v>2810</v>
      </c>
      <c r="E277" t="s">
        <v>74</v>
      </c>
      <c r="F277" t="s">
        <v>3463</v>
      </c>
      <c r="G277" t="s">
        <v>74</v>
      </c>
      <c r="H277" t="s">
        <v>74</v>
      </c>
      <c r="I277" t="s">
        <v>3464</v>
      </c>
      <c r="J277" t="s">
        <v>2812</v>
      </c>
      <c r="K277" t="s">
        <v>2774</v>
      </c>
      <c r="L277" t="s">
        <v>74</v>
      </c>
      <c r="M277" t="s">
        <v>77</v>
      </c>
      <c r="N277" t="s">
        <v>379</v>
      </c>
      <c r="O277" t="s">
        <v>2814</v>
      </c>
      <c r="P277" t="s">
        <v>2815</v>
      </c>
      <c r="Q277" t="s">
        <v>2816</v>
      </c>
      <c r="R277" t="s">
        <v>74</v>
      </c>
      <c r="S277" t="s">
        <v>74</v>
      </c>
      <c r="T277" t="s">
        <v>74</v>
      </c>
      <c r="U277" t="s">
        <v>3465</v>
      </c>
      <c r="V277" t="s">
        <v>3466</v>
      </c>
      <c r="W277" t="s">
        <v>3433</v>
      </c>
      <c r="X277" t="s">
        <v>3434</v>
      </c>
      <c r="Y277" t="s">
        <v>3467</v>
      </c>
      <c r="Z277" t="s">
        <v>74</v>
      </c>
      <c r="AA277" t="s">
        <v>74</v>
      </c>
      <c r="AB277" t="s">
        <v>74</v>
      </c>
      <c r="AC277" t="s">
        <v>74</v>
      </c>
      <c r="AD277" t="s">
        <v>74</v>
      </c>
      <c r="AE277" t="s">
        <v>74</v>
      </c>
      <c r="AF277" t="s">
        <v>74</v>
      </c>
      <c r="AG277">
        <v>22</v>
      </c>
      <c r="AH277">
        <v>7</v>
      </c>
      <c r="AI277">
        <v>7</v>
      </c>
      <c r="AJ277">
        <v>0</v>
      </c>
      <c r="AK277">
        <v>1</v>
      </c>
      <c r="AL277" t="s">
        <v>2783</v>
      </c>
      <c r="AM277" t="s">
        <v>115</v>
      </c>
      <c r="AN277" t="s">
        <v>2856</v>
      </c>
      <c r="AO277" t="s">
        <v>2785</v>
      </c>
      <c r="AP277" t="s">
        <v>74</v>
      </c>
      <c r="AQ277" t="s">
        <v>2824</v>
      </c>
      <c r="AR277" t="s">
        <v>2787</v>
      </c>
      <c r="AS277" t="s">
        <v>74</v>
      </c>
      <c r="AT277" t="s">
        <v>74</v>
      </c>
      <c r="AU277">
        <v>1998</v>
      </c>
      <c r="AV277">
        <v>27</v>
      </c>
      <c r="AW277" t="s">
        <v>74</v>
      </c>
      <c r="AX277" t="s">
        <v>74</v>
      </c>
      <c r="AY277" t="s">
        <v>74</v>
      </c>
      <c r="AZ277" t="s">
        <v>74</v>
      </c>
      <c r="BA277" t="s">
        <v>74</v>
      </c>
      <c r="BB277">
        <v>455</v>
      </c>
      <c r="BC277">
        <v>460</v>
      </c>
      <c r="BD277" t="s">
        <v>74</v>
      </c>
      <c r="BE277" t="s">
        <v>74</v>
      </c>
      <c r="BF277" t="s">
        <v>74</v>
      </c>
      <c r="BG277" t="s">
        <v>74</v>
      </c>
      <c r="BH277" t="s">
        <v>74</v>
      </c>
      <c r="BI277">
        <v>6</v>
      </c>
      <c r="BJ277" t="s">
        <v>2826</v>
      </c>
      <c r="BK277" t="s">
        <v>397</v>
      </c>
      <c r="BL277" t="s">
        <v>2827</v>
      </c>
      <c r="BM277" t="s">
        <v>2828</v>
      </c>
      <c r="BN277" t="s">
        <v>74</v>
      </c>
      <c r="BO277" t="s">
        <v>74</v>
      </c>
      <c r="BP277" t="s">
        <v>74</v>
      </c>
      <c r="BQ277" t="s">
        <v>74</v>
      </c>
      <c r="BR277" t="s">
        <v>101</v>
      </c>
      <c r="BS277" t="s">
        <v>3468</v>
      </c>
      <c r="BT277" t="str">
        <f>HYPERLINK("https%3A%2F%2Fwww.webofscience.com%2Fwos%2Fwoscc%2Ffull-record%2FWOS:000079713100076","View Full Record in Web of Science")</f>
        <v>View Full Record in Web of Science</v>
      </c>
    </row>
    <row r="278" spans="1:72" x14ac:dyDescent="0.15">
      <c r="A278" t="s">
        <v>1540</v>
      </c>
      <c r="B278" t="s">
        <v>3469</v>
      </c>
      <c r="C278" t="s">
        <v>74</v>
      </c>
      <c r="D278" t="s">
        <v>2810</v>
      </c>
      <c r="E278" t="s">
        <v>74</v>
      </c>
      <c r="F278" t="s">
        <v>3469</v>
      </c>
      <c r="G278" t="s">
        <v>74</v>
      </c>
      <c r="H278" t="s">
        <v>74</v>
      </c>
      <c r="I278" t="s">
        <v>3470</v>
      </c>
      <c r="J278" t="s">
        <v>2812</v>
      </c>
      <c r="K278" t="s">
        <v>2813</v>
      </c>
      <c r="L278" t="s">
        <v>74</v>
      </c>
      <c r="M278" t="s">
        <v>77</v>
      </c>
      <c r="N278" t="s">
        <v>379</v>
      </c>
      <c r="O278" t="s">
        <v>2814</v>
      </c>
      <c r="P278" t="s">
        <v>2815</v>
      </c>
      <c r="Q278" t="s">
        <v>2816</v>
      </c>
      <c r="R278" t="s">
        <v>74</v>
      </c>
      <c r="S278" t="s">
        <v>74</v>
      </c>
      <c r="T278" t="s">
        <v>74</v>
      </c>
      <c r="U278" t="s">
        <v>3471</v>
      </c>
      <c r="V278" t="s">
        <v>3472</v>
      </c>
      <c r="W278" t="s">
        <v>3433</v>
      </c>
      <c r="X278" t="s">
        <v>3434</v>
      </c>
      <c r="Y278" t="s">
        <v>3473</v>
      </c>
      <c r="Z278" t="s">
        <v>74</v>
      </c>
      <c r="AA278" t="s">
        <v>74</v>
      </c>
      <c r="AB278" t="s">
        <v>74</v>
      </c>
      <c r="AC278" t="s">
        <v>74</v>
      </c>
      <c r="AD278" t="s">
        <v>74</v>
      </c>
      <c r="AE278" t="s">
        <v>74</v>
      </c>
      <c r="AF278" t="s">
        <v>74</v>
      </c>
      <c r="AG278">
        <v>16</v>
      </c>
      <c r="AH278">
        <v>2</v>
      </c>
      <c r="AI278">
        <v>2</v>
      </c>
      <c r="AJ278">
        <v>0</v>
      </c>
      <c r="AK278">
        <v>0</v>
      </c>
      <c r="AL278" t="s">
        <v>2783</v>
      </c>
      <c r="AM278" t="s">
        <v>115</v>
      </c>
      <c r="AN278" t="s">
        <v>2784</v>
      </c>
      <c r="AO278" t="s">
        <v>2785</v>
      </c>
      <c r="AP278" t="s">
        <v>74</v>
      </c>
      <c r="AQ278" t="s">
        <v>2824</v>
      </c>
      <c r="AR278" t="s">
        <v>2825</v>
      </c>
      <c r="AS278" t="s">
        <v>74</v>
      </c>
      <c r="AT278" t="s">
        <v>74</v>
      </c>
      <c r="AU278">
        <v>1998</v>
      </c>
      <c r="AV278">
        <v>27</v>
      </c>
      <c r="AW278" t="s">
        <v>74</v>
      </c>
      <c r="AX278" t="s">
        <v>74</v>
      </c>
      <c r="AY278" t="s">
        <v>74</v>
      </c>
      <c r="AZ278" t="s">
        <v>74</v>
      </c>
      <c r="BA278" t="s">
        <v>74</v>
      </c>
      <c r="BB278">
        <v>461</v>
      </c>
      <c r="BC278">
        <v>465</v>
      </c>
      <c r="BD278" t="s">
        <v>74</v>
      </c>
      <c r="BE278" t="s">
        <v>74</v>
      </c>
      <c r="BF278" t="s">
        <v>74</v>
      </c>
      <c r="BG278" t="s">
        <v>74</v>
      </c>
      <c r="BH278" t="s">
        <v>74</v>
      </c>
      <c r="BI278">
        <v>5</v>
      </c>
      <c r="BJ278" t="s">
        <v>2826</v>
      </c>
      <c r="BK278" t="s">
        <v>397</v>
      </c>
      <c r="BL278" t="s">
        <v>2827</v>
      </c>
      <c r="BM278" t="s">
        <v>2828</v>
      </c>
      <c r="BN278" t="s">
        <v>74</v>
      </c>
      <c r="BO278" t="s">
        <v>74</v>
      </c>
      <c r="BP278" t="s">
        <v>74</v>
      </c>
      <c r="BQ278" t="s">
        <v>74</v>
      </c>
      <c r="BR278" t="s">
        <v>101</v>
      </c>
      <c r="BS278" t="s">
        <v>3474</v>
      </c>
      <c r="BT278" t="str">
        <f>HYPERLINK("https%3A%2F%2Fwww.webofscience.com%2Fwos%2Fwoscc%2Ffull-record%2FWOS:000079713100077","View Full Record in Web of Science")</f>
        <v>View Full Record in Web of Science</v>
      </c>
    </row>
    <row r="279" spans="1:72" x14ac:dyDescent="0.15">
      <c r="A279" t="s">
        <v>1540</v>
      </c>
      <c r="B279" t="s">
        <v>3475</v>
      </c>
      <c r="C279" t="s">
        <v>74</v>
      </c>
      <c r="D279" t="s">
        <v>2810</v>
      </c>
      <c r="E279" t="s">
        <v>74</v>
      </c>
      <c r="F279" t="s">
        <v>3475</v>
      </c>
      <c r="G279" t="s">
        <v>74</v>
      </c>
      <c r="H279" t="s">
        <v>74</v>
      </c>
      <c r="I279" t="s">
        <v>3476</v>
      </c>
      <c r="J279" t="s">
        <v>2812</v>
      </c>
      <c r="K279" t="s">
        <v>2813</v>
      </c>
      <c r="L279" t="s">
        <v>74</v>
      </c>
      <c r="M279" t="s">
        <v>77</v>
      </c>
      <c r="N279" t="s">
        <v>379</v>
      </c>
      <c r="O279" t="s">
        <v>2814</v>
      </c>
      <c r="P279" t="s">
        <v>2815</v>
      </c>
      <c r="Q279" t="s">
        <v>2816</v>
      </c>
      <c r="R279" t="s">
        <v>74</v>
      </c>
      <c r="S279" t="s">
        <v>74</v>
      </c>
      <c r="T279" t="s">
        <v>74</v>
      </c>
      <c r="U279" t="s">
        <v>3477</v>
      </c>
      <c r="V279" t="s">
        <v>3478</v>
      </c>
      <c r="W279" t="s">
        <v>3273</v>
      </c>
      <c r="X279" t="s">
        <v>277</v>
      </c>
      <c r="Y279" t="s">
        <v>3479</v>
      </c>
      <c r="Z279" t="s">
        <v>74</v>
      </c>
      <c r="AA279" t="s">
        <v>3480</v>
      </c>
      <c r="AB279" t="s">
        <v>3481</v>
      </c>
      <c r="AC279" t="s">
        <v>74</v>
      </c>
      <c r="AD279" t="s">
        <v>74</v>
      </c>
      <c r="AE279" t="s">
        <v>74</v>
      </c>
      <c r="AF279" t="s">
        <v>74</v>
      </c>
      <c r="AG279">
        <v>19</v>
      </c>
      <c r="AH279">
        <v>0</v>
      </c>
      <c r="AI279">
        <v>0</v>
      </c>
      <c r="AJ279">
        <v>0</v>
      </c>
      <c r="AK279">
        <v>0</v>
      </c>
      <c r="AL279" t="s">
        <v>2783</v>
      </c>
      <c r="AM279" t="s">
        <v>115</v>
      </c>
      <c r="AN279" t="s">
        <v>2784</v>
      </c>
      <c r="AO279" t="s">
        <v>2785</v>
      </c>
      <c r="AP279" t="s">
        <v>74</v>
      </c>
      <c r="AQ279" t="s">
        <v>2824</v>
      </c>
      <c r="AR279" t="s">
        <v>2825</v>
      </c>
      <c r="AS279" t="s">
        <v>74</v>
      </c>
      <c r="AT279" t="s">
        <v>74</v>
      </c>
      <c r="AU279">
        <v>1998</v>
      </c>
      <c r="AV279">
        <v>27</v>
      </c>
      <c r="AW279" t="s">
        <v>74</v>
      </c>
      <c r="AX279" t="s">
        <v>74</v>
      </c>
      <c r="AY279" t="s">
        <v>74</v>
      </c>
      <c r="AZ279" t="s">
        <v>74</v>
      </c>
      <c r="BA279" t="s">
        <v>74</v>
      </c>
      <c r="BB279">
        <v>466</v>
      </c>
      <c r="BC279">
        <v>470</v>
      </c>
      <c r="BD279" t="s">
        <v>74</v>
      </c>
      <c r="BE279" t="s">
        <v>74</v>
      </c>
      <c r="BF279" t="s">
        <v>74</v>
      </c>
      <c r="BG279" t="s">
        <v>74</v>
      </c>
      <c r="BH279" t="s">
        <v>74</v>
      </c>
      <c r="BI279">
        <v>5</v>
      </c>
      <c r="BJ279" t="s">
        <v>2826</v>
      </c>
      <c r="BK279" t="s">
        <v>397</v>
      </c>
      <c r="BL279" t="s">
        <v>2827</v>
      </c>
      <c r="BM279" t="s">
        <v>2828</v>
      </c>
      <c r="BN279" t="s">
        <v>74</v>
      </c>
      <c r="BO279" t="s">
        <v>74</v>
      </c>
      <c r="BP279" t="s">
        <v>74</v>
      </c>
      <c r="BQ279" t="s">
        <v>74</v>
      </c>
      <c r="BR279" t="s">
        <v>101</v>
      </c>
      <c r="BS279" t="s">
        <v>3482</v>
      </c>
      <c r="BT279" t="str">
        <f>HYPERLINK("https%3A%2F%2Fwww.webofscience.com%2Fwos%2Fwoscc%2Ffull-record%2FWOS:000079713100078","View Full Record in Web of Science")</f>
        <v>View Full Record in Web of Science</v>
      </c>
    </row>
    <row r="280" spans="1:72" x14ac:dyDescent="0.15">
      <c r="A280" t="s">
        <v>1540</v>
      </c>
      <c r="B280" t="s">
        <v>3483</v>
      </c>
      <c r="C280" t="s">
        <v>74</v>
      </c>
      <c r="D280" t="s">
        <v>2810</v>
      </c>
      <c r="E280" t="s">
        <v>74</v>
      </c>
      <c r="F280" t="s">
        <v>3483</v>
      </c>
      <c r="G280" t="s">
        <v>74</v>
      </c>
      <c r="H280" t="s">
        <v>74</v>
      </c>
      <c r="I280" t="s">
        <v>3484</v>
      </c>
      <c r="J280" t="s">
        <v>2812</v>
      </c>
      <c r="K280" t="s">
        <v>2813</v>
      </c>
      <c r="L280" t="s">
        <v>74</v>
      </c>
      <c r="M280" t="s">
        <v>77</v>
      </c>
      <c r="N280" t="s">
        <v>379</v>
      </c>
      <c r="O280" t="s">
        <v>2814</v>
      </c>
      <c r="P280" t="s">
        <v>2815</v>
      </c>
      <c r="Q280" t="s">
        <v>2816</v>
      </c>
      <c r="R280" t="s">
        <v>74</v>
      </c>
      <c r="S280" t="s">
        <v>74</v>
      </c>
      <c r="T280" t="s">
        <v>74</v>
      </c>
      <c r="U280" t="s">
        <v>3485</v>
      </c>
      <c r="V280" t="s">
        <v>3486</v>
      </c>
      <c r="W280" t="s">
        <v>3487</v>
      </c>
      <c r="X280" t="s">
        <v>3488</v>
      </c>
      <c r="Y280" t="s">
        <v>3489</v>
      </c>
      <c r="Z280" t="s">
        <v>74</v>
      </c>
      <c r="AA280" t="s">
        <v>74</v>
      </c>
      <c r="AB280" t="s">
        <v>3490</v>
      </c>
      <c r="AC280" t="s">
        <v>74</v>
      </c>
      <c r="AD280" t="s">
        <v>74</v>
      </c>
      <c r="AE280" t="s">
        <v>74</v>
      </c>
      <c r="AF280" t="s">
        <v>74</v>
      </c>
      <c r="AG280">
        <v>17</v>
      </c>
      <c r="AH280">
        <v>16</v>
      </c>
      <c r="AI280">
        <v>16</v>
      </c>
      <c r="AJ280">
        <v>0</v>
      </c>
      <c r="AK280">
        <v>1</v>
      </c>
      <c r="AL280" t="s">
        <v>2783</v>
      </c>
      <c r="AM280" t="s">
        <v>115</v>
      </c>
      <c r="AN280" t="s">
        <v>2784</v>
      </c>
      <c r="AO280" t="s">
        <v>2785</v>
      </c>
      <c r="AP280" t="s">
        <v>74</v>
      </c>
      <c r="AQ280" t="s">
        <v>2824</v>
      </c>
      <c r="AR280" t="s">
        <v>2825</v>
      </c>
      <c r="AS280" t="s">
        <v>74</v>
      </c>
      <c r="AT280" t="s">
        <v>74</v>
      </c>
      <c r="AU280">
        <v>1998</v>
      </c>
      <c r="AV280">
        <v>27</v>
      </c>
      <c r="AW280" t="s">
        <v>74</v>
      </c>
      <c r="AX280" t="s">
        <v>74</v>
      </c>
      <c r="AY280" t="s">
        <v>74</v>
      </c>
      <c r="AZ280" t="s">
        <v>74</v>
      </c>
      <c r="BA280" t="s">
        <v>74</v>
      </c>
      <c r="BB280">
        <v>471</v>
      </c>
      <c r="BC280">
        <v>476</v>
      </c>
      <c r="BD280" t="s">
        <v>74</v>
      </c>
      <c r="BE280" t="s">
        <v>74</v>
      </c>
      <c r="BF280" t="s">
        <v>74</v>
      </c>
      <c r="BG280" t="s">
        <v>74</v>
      </c>
      <c r="BH280" t="s">
        <v>74</v>
      </c>
      <c r="BI280">
        <v>6</v>
      </c>
      <c r="BJ280" t="s">
        <v>2826</v>
      </c>
      <c r="BK280" t="s">
        <v>397</v>
      </c>
      <c r="BL280" t="s">
        <v>2827</v>
      </c>
      <c r="BM280" t="s">
        <v>2828</v>
      </c>
      <c r="BN280" t="s">
        <v>74</v>
      </c>
      <c r="BO280" t="s">
        <v>74</v>
      </c>
      <c r="BP280" t="s">
        <v>74</v>
      </c>
      <c r="BQ280" t="s">
        <v>74</v>
      </c>
      <c r="BR280" t="s">
        <v>101</v>
      </c>
      <c r="BS280" t="s">
        <v>3491</v>
      </c>
      <c r="BT280" t="str">
        <f>HYPERLINK("https%3A%2F%2Fwww.webofscience.com%2Fwos%2Fwoscc%2Ffull-record%2FWOS:000079713100079","View Full Record in Web of Science")</f>
        <v>View Full Record in Web of Science</v>
      </c>
    </row>
    <row r="281" spans="1:72" x14ac:dyDescent="0.15">
      <c r="A281" t="s">
        <v>1540</v>
      </c>
      <c r="B281" t="s">
        <v>3492</v>
      </c>
      <c r="C281" t="s">
        <v>74</v>
      </c>
      <c r="D281" t="s">
        <v>2810</v>
      </c>
      <c r="E281" t="s">
        <v>74</v>
      </c>
      <c r="F281" t="s">
        <v>3492</v>
      </c>
      <c r="G281" t="s">
        <v>74</v>
      </c>
      <c r="H281" t="s">
        <v>74</v>
      </c>
      <c r="I281" t="s">
        <v>3493</v>
      </c>
      <c r="J281" t="s">
        <v>2812</v>
      </c>
      <c r="K281" t="s">
        <v>2774</v>
      </c>
      <c r="L281" t="s">
        <v>74</v>
      </c>
      <c r="M281" t="s">
        <v>77</v>
      </c>
      <c r="N281" t="s">
        <v>379</v>
      </c>
      <c r="O281" t="s">
        <v>2814</v>
      </c>
      <c r="P281" t="s">
        <v>2815</v>
      </c>
      <c r="Q281" t="s">
        <v>2816</v>
      </c>
      <c r="R281" t="s">
        <v>74</v>
      </c>
      <c r="S281" t="s">
        <v>74</v>
      </c>
      <c r="T281" t="s">
        <v>74</v>
      </c>
      <c r="U281" t="s">
        <v>3494</v>
      </c>
      <c r="V281" t="s">
        <v>3495</v>
      </c>
      <c r="W281" t="s">
        <v>3496</v>
      </c>
      <c r="X281" t="s">
        <v>277</v>
      </c>
      <c r="Y281" t="s">
        <v>3497</v>
      </c>
      <c r="Z281" t="s">
        <v>74</v>
      </c>
      <c r="AA281" t="s">
        <v>3498</v>
      </c>
      <c r="AB281" t="s">
        <v>3499</v>
      </c>
      <c r="AC281" t="s">
        <v>74</v>
      </c>
      <c r="AD281" t="s">
        <v>74</v>
      </c>
      <c r="AE281" t="s">
        <v>74</v>
      </c>
      <c r="AF281" t="s">
        <v>74</v>
      </c>
      <c r="AG281">
        <v>20</v>
      </c>
      <c r="AH281">
        <v>8</v>
      </c>
      <c r="AI281">
        <v>8</v>
      </c>
      <c r="AJ281">
        <v>0</v>
      </c>
      <c r="AK281">
        <v>0</v>
      </c>
      <c r="AL281" t="s">
        <v>2783</v>
      </c>
      <c r="AM281" t="s">
        <v>115</v>
      </c>
      <c r="AN281" t="s">
        <v>2856</v>
      </c>
      <c r="AO281" t="s">
        <v>2785</v>
      </c>
      <c r="AP281" t="s">
        <v>74</v>
      </c>
      <c r="AQ281" t="s">
        <v>2824</v>
      </c>
      <c r="AR281" t="s">
        <v>2787</v>
      </c>
      <c r="AS281" t="s">
        <v>74</v>
      </c>
      <c r="AT281" t="s">
        <v>74</v>
      </c>
      <c r="AU281">
        <v>1998</v>
      </c>
      <c r="AV281">
        <v>27</v>
      </c>
      <c r="AW281" t="s">
        <v>74</v>
      </c>
      <c r="AX281" t="s">
        <v>74</v>
      </c>
      <c r="AY281" t="s">
        <v>74</v>
      </c>
      <c r="AZ281" t="s">
        <v>74</v>
      </c>
      <c r="BA281" t="s">
        <v>74</v>
      </c>
      <c r="BB281">
        <v>477</v>
      </c>
      <c r="BC281">
        <v>482</v>
      </c>
      <c r="BD281" t="s">
        <v>74</v>
      </c>
      <c r="BE281" t="s">
        <v>74</v>
      </c>
      <c r="BF281" t="s">
        <v>74</v>
      </c>
      <c r="BG281" t="s">
        <v>74</v>
      </c>
      <c r="BH281" t="s">
        <v>74</v>
      </c>
      <c r="BI281">
        <v>6</v>
      </c>
      <c r="BJ281" t="s">
        <v>2826</v>
      </c>
      <c r="BK281" t="s">
        <v>397</v>
      </c>
      <c r="BL281" t="s">
        <v>2827</v>
      </c>
      <c r="BM281" t="s">
        <v>2828</v>
      </c>
      <c r="BN281" t="s">
        <v>74</v>
      </c>
      <c r="BO281" t="s">
        <v>74</v>
      </c>
      <c r="BP281" t="s">
        <v>74</v>
      </c>
      <c r="BQ281" t="s">
        <v>74</v>
      </c>
      <c r="BR281" t="s">
        <v>101</v>
      </c>
      <c r="BS281" t="s">
        <v>3500</v>
      </c>
      <c r="BT281" t="str">
        <f>HYPERLINK("https%3A%2F%2Fwww.webofscience.com%2Fwos%2Fwoscc%2Ffull-record%2FWOS:000079713100080","View Full Record in Web of Science")</f>
        <v>View Full Record in Web of Science</v>
      </c>
    </row>
    <row r="282" spans="1:72" x14ac:dyDescent="0.15">
      <c r="A282" t="s">
        <v>1540</v>
      </c>
      <c r="B282" t="s">
        <v>3501</v>
      </c>
      <c r="C282" t="s">
        <v>74</v>
      </c>
      <c r="D282" t="s">
        <v>2810</v>
      </c>
      <c r="E282" t="s">
        <v>74</v>
      </c>
      <c r="F282" t="s">
        <v>3501</v>
      </c>
      <c r="G282" t="s">
        <v>74</v>
      </c>
      <c r="H282" t="s">
        <v>74</v>
      </c>
      <c r="I282" t="s">
        <v>3502</v>
      </c>
      <c r="J282" t="s">
        <v>2812</v>
      </c>
      <c r="K282" t="s">
        <v>2774</v>
      </c>
      <c r="L282" t="s">
        <v>74</v>
      </c>
      <c r="M282" t="s">
        <v>77</v>
      </c>
      <c r="N282" t="s">
        <v>379</v>
      </c>
      <c r="O282" t="s">
        <v>2814</v>
      </c>
      <c r="P282" t="s">
        <v>2815</v>
      </c>
      <c r="Q282" t="s">
        <v>2816</v>
      </c>
      <c r="R282" t="s">
        <v>74</v>
      </c>
      <c r="S282" t="s">
        <v>74</v>
      </c>
      <c r="T282" t="s">
        <v>74</v>
      </c>
      <c r="U282" t="s">
        <v>3503</v>
      </c>
      <c r="V282" t="s">
        <v>3504</v>
      </c>
      <c r="W282" t="s">
        <v>3505</v>
      </c>
      <c r="X282" t="s">
        <v>3506</v>
      </c>
      <c r="Y282" t="s">
        <v>3507</v>
      </c>
      <c r="Z282" t="s">
        <v>74</v>
      </c>
      <c r="AA282" t="s">
        <v>3508</v>
      </c>
      <c r="AB282" t="s">
        <v>74</v>
      </c>
      <c r="AC282" t="s">
        <v>74</v>
      </c>
      <c r="AD282" t="s">
        <v>74</v>
      </c>
      <c r="AE282" t="s">
        <v>74</v>
      </c>
      <c r="AF282" t="s">
        <v>74</v>
      </c>
      <c r="AG282">
        <v>13</v>
      </c>
      <c r="AH282">
        <v>14</v>
      </c>
      <c r="AI282">
        <v>16</v>
      </c>
      <c r="AJ282">
        <v>0</v>
      </c>
      <c r="AK282">
        <v>0</v>
      </c>
      <c r="AL282" t="s">
        <v>2783</v>
      </c>
      <c r="AM282" t="s">
        <v>115</v>
      </c>
      <c r="AN282" t="s">
        <v>2856</v>
      </c>
      <c r="AO282" t="s">
        <v>2785</v>
      </c>
      <c r="AP282" t="s">
        <v>74</v>
      </c>
      <c r="AQ282" t="s">
        <v>2824</v>
      </c>
      <c r="AR282" t="s">
        <v>2787</v>
      </c>
      <c r="AS282" t="s">
        <v>74</v>
      </c>
      <c r="AT282" t="s">
        <v>74</v>
      </c>
      <c r="AU282">
        <v>1998</v>
      </c>
      <c r="AV282">
        <v>27</v>
      </c>
      <c r="AW282" t="s">
        <v>74</v>
      </c>
      <c r="AX282" t="s">
        <v>74</v>
      </c>
      <c r="AY282" t="s">
        <v>74</v>
      </c>
      <c r="AZ282" t="s">
        <v>74</v>
      </c>
      <c r="BA282" t="s">
        <v>74</v>
      </c>
      <c r="BB282">
        <v>483</v>
      </c>
      <c r="BC282">
        <v>487</v>
      </c>
      <c r="BD282" t="s">
        <v>74</v>
      </c>
      <c r="BE282" t="s">
        <v>74</v>
      </c>
      <c r="BF282" t="s">
        <v>74</v>
      </c>
      <c r="BG282" t="s">
        <v>74</v>
      </c>
      <c r="BH282" t="s">
        <v>74</v>
      </c>
      <c r="BI282">
        <v>5</v>
      </c>
      <c r="BJ282" t="s">
        <v>2826</v>
      </c>
      <c r="BK282" t="s">
        <v>397</v>
      </c>
      <c r="BL282" t="s">
        <v>2827</v>
      </c>
      <c r="BM282" t="s">
        <v>2828</v>
      </c>
      <c r="BN282" t="s">
        <v>74</v>
      </c>
      <c r="BO282" t="s">
        <v>74</v>
      </c>
      <c r="BP282" t="s">
        <v>74</v>
      </c>
      <c r="BQ282" t="s">
        <v>74</v>
      </c>
      <c r="BR282" t="s">
        <v>101</v>
      </c>
      <c r="BS282" t="s">
        <v>3509</v>
      </c>
      <c r="BT282" t="str">
        <f>HYPERLINK("https%3A%2F%2Fwww.webofscience.com%2Fwos%2Fwoscc%2Ffull-record%2FWOS:000079713100081","View Full Record in Web of Science")</f>
        <v>View Full Record in Web of Science</v>
      </c>
    </row>
    <row r="283" spans="1:72" x14ac:dyDescent="0.15">
      <c r="A283" t="s">
        <v>1540</v>
      </c>
      <c r="B283" t="s">
        <v>3510</v>
      </c>
      <c r="C283" t="s">
        <v>74</v>
      </c>
      <c r="D283" t="s">
        <v>2810</v>
      </c>
      <c r="E283" t="s">
        <v>74</v>
      </c>
      <c r="F283" t="s">
        <v>3510</v>
      </c>
      <c r="G283" t="s">
        <v>74</v>
      </c>
      <c r="H283" t="s">
        <v>74</v>
      </c>
      <c r="I283" t="s">
        <v>3511</v>
      </c>
      <c r="J283" t="s">
        <v>2812</v>
      </c>
      <c r="K283" t="s">
        <v>2774</v>
      </c>
      <c r="L283" t="s">
        <v>74</v>
      </c>
      <c r="M283" t="s">
        <v>77</v>
      </c>
      <c r="N283" t="s">
        <v>379</v>
      </c>
      <c r="O283" t="s">
        <v>2814</v>
      </c>
      <c r="P283" t="s">
        <v>2815</v>
      </c>
      <c r="Q283" t="s">
        <v>2816</v>
      </c>
      <c r="R283" t="s">
        <v>74</v>
      </c>
      <c r="S283" t="s">
        <v>74</v>
      </c>
      <c r="T283" t="s">
        <v>74</v>
      </c>
      <c r="U283" t="s">
        <v>3512</v>
      </c>
      <c r="V283" t="s">
        <v>3513</v>
      </c>
      <c r="W283" t="s">
        <v>3514</v>
      </c>
      <c r="X283" t="s">
        <v>3515</v>
      </c>
      <c r="Y283" t="s">
        <v>3516</v>
      </c>
      <c r="Z283" t="s">
        <v>74</v>
      </c>
      <c r="AA283" t="s">
        <v>3517</v>
      </c>
      <c r="AB283" t="s">
        <v>3518</v>
      </c>
      <c r="AC283" t="s">
        <v>74</v>
      </c>
      <c r="AD283" t="s">
        <v>74</v>
      </c>
      <c r="AE283" t="s">
        <v>74</v>
      </c>
      <c r="AF283" t="s">
        <v>74</v>
      </c>
      <c r="AG283">
        <v>12</v>
      </c>
      <c r="AH283">
        <v>14</v>
      </c>
      <c r="AI283">
        <v>14</v>
      </c>
      <c r="AJ283">
        <v>1</v>
      </c>
      <c r="AK283">
        <v>3</v>
      </c>
      <c r="AL283" t="s">
        <v>2783</v>
      </c>
      <c r="AM283" t="s">
        <v>115</v>
      </c>
      <c r="AN283" t="s">
        <v>2856</v>
      </c>
      <c r="AO283" t="s">
        <v>2785</v>
      </c>
      <c r="AP283" t="s">
        <v>74</v>
      </c>
      <c r="AQ283" t="s">
        <v>2824</v>
      </c>
      <c r="AR283" t="s">
        <v>2787</v>
      </c>
      <c r="AS283" t="s">
        <v>74</v>
      </c>
      <c r="AT283" t="s">
        <v>74</v>
      </c>
      <c r="AU283">
        <v>1998</v>
      </c>
      <c r="AV283">
        <v>27</v>
      </c>
      <c r="AW283" t="s">
        <v>74</v>
      </c>
      <c r="AX283" t="s">
        <v>74</v>
      </c>
      <c r="AY283" t="s">
        <v>74</v>
      </c>
      <c r="AZ283" t="s">
        <v>74</v>
      </c>
      <c r="BA283" t="s">
        <v>74</v>
      </c>
      <c r="BB283">
        <v>488</v>
      </c>
      <c r="BC283">
        <v>494</v>
      </c>
      <c r="BD283" t="s">
        <v>74</v>
      </c>
      <c r="BE283" t="s">
        <v>74</v>
      </c>
      <c r="BF283" t="s">
        <v>74</v>
      </c>
      <c r="BG283" t="s">
        <v>74</v>
      </c>
      <c r="BH283" t="s">
        <v>74</v>
      </c>
      <c r="BI283">
        <v>7</v>
      </c>
      <c r="BJ283" t="s">
        <v>2826</v>
      </c>
      <c r="BK283" t="s">
        <v>397</v>
      </c>
      <c r="BL283" t="s">
        <v>2827</v>
      </c>
      <c r="BM283" t="s">
        <v>2828</v>
      </c>
      <c r="BN283" t="s">
        <v>74</v>
      </c>
      <c r="BO283" t="s">
        <v>74</v>
      </c>
      <c r="BP283" t="s">
        <v>74</v>
      </c>
      <c r="BQ283" t="s">
        <v>74</v>
      </c>
      <c r="BR283" t="s">
        <v>101</v>
      </c>
      <c r="BS283" t="s">
        <v>3519</v>
      </c>
      <c r="BT283" t="str">
        <f>HYPERLINK("https%3A%2F%2Fwww.webofscience.com%2Fwos%2Fwoscc%2Ffull-record%2FWOS:000079713100082","View Full Record in Web of Science")</f>
        <v>View Full Record in Web of Science</v>
      </c>
    </row>
    <row r="284" spans="1:72" x14ac:dyDescent="0.15">
      <c r="A284" t="s">
        <v>1540</v>
      </c>
      <c r="B284" t="s">
        <v>3520</v>
      </c>
      <c r="C284" t="s">
        <v>74</v>
      </c>
      <c r="D284" t="s">
        <v>2810</v>
      </c>
      <c r="E284" t="s">
        <v>74</v>
      </c>
      <c r="F284" t="s">
        <v>3520</v>
      </c>
      <c r="G284" t="s">
        <v>74</v>
      </c>
      <c r="H284" t="s">
        <v>74</v>
      </c>
      <c r="I284" t="s">
        <v>3521</v>
      </c>
      <c r="J284" t="s">
        <v>2812</v>
      </c>
      <c r="K284" t="s">
        <v>2774</v>
      </c>
      <c r="L284" t="s">
        <v>74</v>
      </c>
      <c r="M284" t="s">
        <v>77</v>
      </c>
      <c r="N284" t="s">
        <v>379</v>
      </c>
      <c r="O284" t="s">
        <v>2814</v>
      </c>
      <c r="P284" t="s">
        <v>2815</v>
      </c>
      <c r="Q284" t="s">
        <v>2816</v>
      </c>
      <c r="R284" t="s">
        <v>74</v>
      </c>
      <c r="S284" t="s">
        <v>74</v>
      </c>
      <c r="T284" t="s">
        <v>74</v>
      </c>
      <c r="U284" t="s">
        <v>3522</v>
      </c>
      <c r="V284" t="s">
        <v>3523</v>
      </c>
      <c r="W284" t="s">
        <v>3042</v>
      </c>
      <c r="X284" t="s">
        <v>74</v>
      </c>
      <c r="Y284" t="s">
        <v>3524</v>
      </c>
      <c r="Z284" t="s">
        <v>74</v>
      </c>
      <c r="AA284" t="s">
        <v>3525</v>
      </c>
      <c r="AB284" t="s">
        <v>3526</v>
      </c>
      <c r="AC284" t="s">
        <v>74</v>
      </c>
      <c r="AD284" t="s">
        <v>74</v>
      </c>
      <c r="AE284" t="s">
        <v>74</v>
      </c>
      <c r="AF284" t="s">
        <v>74</v>
      </c>
      <c r="AG284">
        <v>22</v>
      </c>
      <c r="AH284">
        <v>1</v>
      </c>
      <c r="AI284">
        <v>1</v>
      </c>
      <c r="AJ284">
        <v>0</v>
      </c>
      <c r="AK284">
        <v>0</v>
      </c>
      <c r="AL284" t="s">
        <v>2783</v>
      </c>
      <c r="AM284" t="s">
        <v>115</v>
      </c>
      <c r="AN284" t="s">
        <v>2856</v>
      </c>
      <c r="AO284" t="s">
        <v>2785</v>
      </c>
      <c r="AP284" t="s">
        <v>74</v>
      </c>
      <c r="AQ284" t="s">
        <v>2824</v>
      </c>
      <c r="AR284" t="s">
        <v>2787</v>
      </c>
      <c r="AS284" t="s">
        <v>74</v>
      </c>
      <c r="AT284" t="s">
        <v>74</v>
      </c>
      <c r="AU284">
        <v>1998</v>
      </c>
      <c r="AV284">
        <v>27</v>
      </c>
      <c r="AW284" t="s">
        <v>74</v>
      </c>
      <c r="AX284" t="s">
        <v>74</v>
      </c>
      <c r="AY284" t="s">
        <v>74</v>
      </c>
      <c r="AZ284" t="s">
        <v>74</v>
      </c>
      <c r="BA284" t="s">
        <v>74</v>
      </c>
      <c r="BB284">
        <v>495</v>
      </c>
      <c r="BC284">
        <v>500</v>
      </c>
      <c r="BD284" t="s">
        <v>74</v>
      </c>
      <c r="BE284" t="s">
        <v>74</v>
      </c>
      <c r="BF284" t="s">
        <v>74</v>
      </c>
      <c r="BG284" t="s">
        <v>74</v>
      </c>
      <c r="BH284" t="s">
        <v>74</v>
      </c>
      <c r="BI284">
        <v>6</v>
      </c>
      <c r="BJ284" t="s">
        <v>2826</v>
      </c>
      <c r="BK284" t="s">
        <v>397</v>
      </c>
      <c r="BL284" t="s">
        <v>2827</v>
      </c>
      <c r="BM284" t="s">
        <v>2828</v>
      </c>
      <c r="BN284" t="s">
        <v>74</v>
      </c>
      <c r="BO284" t="s">
        <v>74</v>
      </c>
      <c r="BP284" t="s">
        <v>74</v>
      </c>
      <c r="BQ284" t="s">
        <v>74</v>
      </c>
      <c r="BR284" t="s">
        <v>101</v>
      </c>
      <c r="BS284" t="s">
        <v>3527</v>
      </c>
      <c r="BT284" t="str">
        <f>HYPERLINK("https%3A%2F%2Fwww.webofscience.com%2Fwos%2Fwoscc%2Ffull-record%2FWOS:000079713100083","View Full Record in Web of Science")</f>
        <v>View Full Record in Web of Science</v>
      </c>
    </row>
    <row r="285" spans="1:72" x14ac:dyDescent="0.15">
      <c r="A285" t="s">
        <v>1540</v>
      </c>
      <c r="B285" t="s">
        <v>3528</v>
      </c>
      <c r="C285" t="s">
        <v>74</v>
      </c>
      <c r="D285" t="s">
        <v>2810</v>
      </c>
      <c r="E285" t="s">
        <v>74</v>
      </c>
      <c r="F285" t="s">
        <v>3528</v>
      </c>
      <c r="G285" t="s">
        <v>74</v>
      </c>
      <c r="H285" t="s">
        <v>74</v>
      </c>
      <c r="I285" t="s">
        <v>3529</v>
      </c>
      <c r="J285" t="s">
        <v>2812</v>
      </c>
      <c r="K285" t="s">
        <v>2774</v>
      </c>
      <c r="L285" t="s">
        <v>74</v>
      </c>
      <c r="M285" t="s">
        <v>77</v>
      </c>
      <c r="N285" t="s">
        <v>379</v>
      </c>
      <c r="O285" t="s">
        <v>2814</v>
      </c>
      <c r="P285" t="s">
        <v>2815</v>
      </c>
      <c r="Q285" t="s">
        <v>2816</v>
      </c>
      <c r="R285" t="s">
        <v>74</v>
      </c>
      <c r="S285" t="s">
        <v>74</v>
      </c>
      <c r="T285" t="s">
        <v>74</v>
      </c>
      <c r="U285" t="s">
        <v>74</v>
      </c>
      <c r="V285" t="s">
        <v>3530</v>
      </c>
      <c r="W285" t="s">
        <v>3531</v>
      </c>
      <c r="X285" t="s">
        <v>3532</v>
      </c>
      <c r="Y285" t="s">
        <v>3524</v>
      </c>
      <c r="Z285" t="s">
        <v>74</v>
      </c>
      <c r="AA285" t="s">
        <v>3525</v>
      </c>
      <c r="AB285" t="s">
        <v>3526</v>
      </c>
      <c r="AC285" t="s">
        <v>74</v>
      </c>
      <c r="AD285" t="s">
        <v>74</v>
      </c>
      <c r="AE285" t="s">
        <v>74</v>
      </c>
      <c r="AF285" t="s">
        <v>74</v>
      </c>
      <c r="AG285">
        <v>13</v>
      </c>
      <c r="AH285">
        <v>0</v>
      </c>
      <c r="AI285">
        <v>0</v>
      </c>
      <c r="AJ285">
        <v>0</v>
      </c>
      <c r="AK285">
        <v>0</v>
      </c>
      <c r="AL285" t="s">
        <v>2783</v>
      </c>
      <c r="AM285" t="s">
        <v>115</v>
      </c>
      <c r="AN285" t="s">
        <v>2856</v>
      </c>
      <c r="AO285" t="s">
        <v>2785</v>
      </c>
      <c r="AP285" t="s">
        <v>74</v>
      </c>
      <c r="AQ285" t="s">
        <v>2824</v>
      </c>
      <c r="AR285" t="s">
        <v>2787</v>
      </c>
      <c r="AS285" t="s">
        <v>74</v>
      </c>
      <c r="AT285" t="s">
        <v>74</v>
      </c>
      <c r="AU285">
        <v>1998</v>
      </c>
      <c r="AV285">
        <v>27</v>
      </c>
      <c r="AW285" t="s">
        <v>74</v>
      </c>
      <c r="AX285" t="s">
        <v>74</v>
      </c>
      <c r="AY285" t="s">
        <v>74</v>
      </c>
      <c r="AZ285" t="s">
        <v>74</v>
      </c>
      <c r="BA285" t="s">
        <v>74</v>
      </c>
      <c r="BB285">
        <v>501</v>
      </c>
      <c r="BC285">
        <v>506</v>
      </c>
      <c r="BD285" t="s">
        <v>74</v>
      </c>
      <c r="BE285" t="s">
        <v>74</v>
      </c>
      <c r="BF285" t="s">
        <v>74</v>
      </c>
      <c r="BG285" t="s">
        <v>74</v>
      </c>
      <c r="BH285" t="s">
        <v>74</v>
      </c>
      <c r="BI285">
        <v>6</v>
      </c>
      <c r="BJ285" t="s">
        <v>2826</v>
      </c>
      <c r="BK285" t="s">
        <v>397</v>
      </c>
      <c r="BL285" t="s">
        <v>2827</v>
      </c>
      <c r="BM285" t="s">
        <v>2828</v>
      </c>
      <c r="BN285" t="s">
        <v>74</v>
      </c>
      <c r="BO285" t="s">
        <v>74</v>
      </c>
      <c r="BP285" t="s">
        <v>74</v>
      </c>
      <c r="BQ285" t="s">
        <v>74</v>
      </c>
      <c r="BR285" t="s">
        <v>101</v>
      </c>
      <c r="BS285" t="s">
        <v>3533</v>
      </c>
      <c r="BT285" t="str">
        <f>HYPERLINK("https%3A%2F%2Fwww.webofscience.com%2Fwos%2Fwoscc%2Ffull-record%2FWOS:000079713100084","View Full Record in Web of Science")</f>
        <v>View Full Record in Web of Science</v>
      </c>
    </row>
    <row r="286" spans="1:72" x14ac:dyDescent="0.15">
      <c r="A286" t="s">
        <v>1540</v>
      </c>
      <c r="B286" t="s">
        <v>3534</v>
      </c>
      <c r="C286" t="s">
        <v>74</v>
      </c>
      <c r="D286" t="s">
        <v>2810</v>
      </c>
      <c r="E286" t="s">
        <v>74</v>
      </c>
      <c r="F286" t="s">
        <v>3534</v>
      </c>
      <c r="G286" t="s">
        <v>74</v>
      </c>
      <c r="H286" t="s">
        <v>74</v>
      </c>
      <c r="I286" t="s">
        <v>3535</v>
      </c>
      <c r="J286" t="s">
        <v>2812</v>
      </c>
      <c r="K286" t="s">
        <v>2774</v>
      </c>
      <c r="L286" t="s">
        <v>74</v>
      </c>
      <c r="M286" t="s">
        <v>77</v>
      </c>
      <c r="N286" t="s">
        <v>379</v>
      </c>
      <c r="O286" t="s">
        <v>2814</v>
      </c>
      <c r="P286" t="s">
        <v>2815</v>
      </c>
      <c r="Q286" t="s">
        <v>2816</v>
      </c>
      <c r="R286" t="s">
        <v>74</v>
      </c>
      <c r="S286" t="s">
        <v>74</v>
      </c>
      <c r="T286" t="s">
        <v>74</v>
      </c>
      <c r="U286" t="s">
        <v>3536</v>
      </c>
      <c r="V286" t="s">
        <v>3537</v>
      </c>
      <c r="W286" t="s">
        <v>3538</v>
      </c>
      <c r="X286" t="s">
        <v>3539</v>
      </c>
      <c r="Y286" t="s">
        <v>3540</v>
      </c>
      <c r="Z286" t="s">
        <v>74</v>
      </c>
      <c r="AA286" t="s">
        <v>3541</v>
      </c>
      <c r="AB286" t="s">
        <v>3542</v>
      </c>
      <c r="AC286" t="s">
        <v>74</v>
      </c>
      <c r="AD286" t="s">
        <v>74</v>
      </c>
      <c r="AE286" t="s">
        <v>74</v>
      </c>
      <c r="AF286" t="s">
        <v>74</v>
      </c>
      <c r="AG286">
        <v>36</v>
      </c>
      <c r="AH286">
        <v>12</v>
      </c>
      <c r="AI286">
        <v>13</v>
      </c>
      <c r="AJ286">
        <v>0</v>
      </c>
      <c r="AK286">
        <v>1</v>
      </c>
      <c r="AL286" t="s">
        <v>2783</v>
      </c>
      <c r="AM286" t="s">
        <v>115</v>
      </c>
      <c r="AN286" t="s">
        <v>2856</v>
      </c>
      <c r="AO286" t="s">
        <v>2785</v>
      </c>
      <c r="AP286" t="s">
        <v>74</v>
      </c>
      <c r="AQ286" t="s">
        <v>2824</v>
      </c>
      <c r="AR286" t="s">
        <v>2787</v>
      </c>
      <c r="AS286" t="s">
        <v>74</v>
      </c>
      <c r="AT286" t="s">
        <v>74</v>
      </c>
      <c r="AU286">
        <v>1998</v>
      </c>
      <c r="AV286">
        <v>27</v>
      </c>
      <c r="AW286" t="s">
        <v>74</v>
      </c>
      <c r="AX286" t="s">
        <v>74</v>
      </c>
      <c r="AY286" t="s">
        <v>74</v>
      </c>
      <c r="AZ286" t="s">
        <v>74</v>
      </c>
      <c r="BA286" t="s">
        <v>74</v>
      </c>
      <c r="BB286">
        <v>507</v>
      </c>
      <c r="BC286">
        <v>514</v>
      </c>
      <c r="BD286" t="s">
        <v>74</v>
      </c>
      <c r="BE286" t="s">
        <v>74</v>
      </c>
      <c r="BF286" t="s">
        <v>74</v>
      </c>
      <c r="BG286" t="s">
        <v>74</v>
      </c>
      <c r="BH286" t="s">
        <v>74</v>
      </c>
      <c r="BI286">
        <v>8</v>
      </c>
      <c r="BJ286" t="s">
        <v>2826</v>
      </c>
      <c r="BK286" t="s">
        <v>397</v>
      </c>
      <c r="BL286" t="s">
        <v>2827</v>
      </c>
      <c r="BM286" t="s">
        <v>2828</v>
      </c>
      <c r="BN286" t="s">
        <v>74</v>
      </c>
      <c r="BO286" t="s">
        <v>74</v>
      </c>
      <c r="BP286" t="s">
        <v>74</v>
      </c>
      <c r="BQ286" t="s">
        <v>74</v>
      </c>
      <c r="BR286" t="s">
        <v>101</v>
      </c>
      <c r="BS286" t="s">
        <v>3543</v>
      </c>
      <c r="BT286" t="str">
        <f>HYPERLINK("https%3A%2F%2Fwww.webofscience.com%2Fwos%2Fwoscc%2Ffull-record%2FWOS:000079713100085","View Full Record in Web of Science")</f>
        <v>View Full Record in Web of Science</v>
      </c>
    </row>
    <row r="287" spans="1:72" x14ac:dyDescent="0.15">
      <c r="A287" t="s">
        <v>1540</v>
      </c>
      <c r="B287" t="s">
        <v>3544</v>
      </c>
      <c r="C287" t="s">
        <v>74</v>
      </c>
      <c r="D287" t="s">
        <v>2810</v>
      </c>
      <c r="E287" t="s">
        <v>74</v>
      </c>
      <c r="F287" t="s">
        <v>3544</v>
      </c>
      <c r="G287" t="s">
        <v>74</v>
      </c>
      <c r="H287" t="s">
        <v>74</v>
      </c>
      <c r="I287" t="s">
        <v>3545</v>
      </c>
      <c r="J287" t="s">
        <v>2812</v>
      </c>
      <c r="K287" t="s">
        <v>2774</v>
      </c>
      <c r="L287" t="s">
        <v>74</v>
      </c>
      <c r="M287" t="s">
        <v>77</v>
      </c>
      <c r="N287" t="s">
        <v>379</v>
      </c>
      <c r="O287" t="s">
        <v>2814</v>
      </c>
      <c r="P287" t="s">
        <v>2815</v>
      </c>
      <c r="Q287" t="s">
        <v>2816</v>
      </c>
      <c r="R287" t="s">
        <v>74</v>
      </c>
      <c r="S287" t="s">
        <v>74</v>
      </c>
      <c r="T287" t="s">
        <v>74</v>
      </c>
      <c r="U287" t="s">
        <v>74</v>
      </c>
      <c r="V287" t="s">
        <v>3546</v>
      </c>
      <c r="W287" t="s">
        <v>3141</v>
      </c>
      <c r="X287" t="s">
        <v>672</v>
      </c>
      <c r="Y287" t="s">
        <v>3547</v>
      </c>
      <c r="Z287" t="s">
        <v>74</v>
      </c>
      <c r="AA287" t="s">
        <v>3143</v>
      </c>
      <c r="AB287" t="s">
        <v>3144</v>
      </c>
      <c r="AC287" t="s">
        <v>74</v>
      </c>
      <c r="AD287" t="s">
        <v>74</v>
      </c>
      <c r="AE287" t="s">
        <v>74</v>
      </c>
      <c r="AF287" t="s">
        <v>74</v>
      </c>
      <c r="AG287">
        <v>16</v>
      </c>
      <c r="AH287">
        <v>29</v>
      </c>
      <c r="AI287">
        <v>37</v>
      </c>
      <c r="AJ287">
        <v>0</v>
      </c>
      <c r="AK287">
        <v>8</v>
      </c>
      <c r="AL287" t="s">
        <v>2783</v>
      </c>
      <c r="AM287" t="s">
        <v>115</v>
      </c>
      <c r="AN287" t="s">
        <v>2856</v>
      </c>
      <c r="AO287" t="s">
        <v>2785</v>
      </c>
      <c r="AP287" t="s">
        <v>74</v>
      </c>
      <c r="AQ287" t="s">
        <v>2824</v>
      </c>
      <c r="AR287" t="s">
        <v>2787</v>
      </c>
      <c r="AS287" t="s">
        <v>74</v>
      </c>
      <c r="AT287" t="s">
        <v>74</v>
      </c>
      <c r="AU287">
        <v>1998</v>
      </c>
      <c r="AV287">
        <v>27</v>
      </c>
      <c r="AW287" t="s">
        <v>74</v>
      </c>
      <c r="AX287" t="s">
        <v>74</v>
      </c>
      <c r="AY287" t="s">
        <v>74</v>
      </c>
      <c r="AZ287" t="s">
        <v>74</v>
      </c>
      <c r="BA287" t="s">
        <v>74</v>
      </c>
      <c r="BB287">
        <v>515</v>
      </c>
      <c r="BC287">
        <v>520</v>
      </c>
      <c r="BD287" t="s">
        <v>74</v>
      </c>
      <c r="BE287" t="s">
        <v>74</v>
      </c>
      <c r="BF287" t="s">
        <v>74</v>
      </c>
      <c r="BG287" t="s">
        <v>74</v>
      </c>
      <c r="BH287" t="s">
        <v>74</v>
      </c>
      <c r="BI287">
        <v>6</v>
      </c>
      <c r="BJ287" t="s">
        <v>2826</v>
      </c>
      <c r="BK287" t="s">
        <v>397</v>
      </c>
      <c r="BL287" t="s">
        <v>2827</v>
      </c>
      <c r="BM287" t="s">
        <v>2828</v>
      </c>
      <c r="BN287" t="s">
        <v>74</v>
      </c>
      <c r="BO287" t="s">
        <v>74</v>
      </c>
      <c r="BP287" t="s">
        <v>74</v>
      </c>
      <c r="BQ287" t="s">
        <v>74</v>
      </c>
      <c r="BR287" t="s">
        <v>101</v>
      </c>
      <c r="BS287" t="s">
        <v>3548</v>
      </c>
      <c r="BT287" t="str">
        <f>HYPERLINK("https%3A%2F%2Fwww.webofscience.com%2Fwos%2Fwoscc%2Ffull-record%2FWOS:000079713100086","View Full Record in Web of Science")</f>
        <v>View Full Record in Web of Science</v>
      </c>
    </row>
    <row r="288" spans="1:72" x14ac:dyDescent="0.15">
      <c r="A288" t="s">
        <v>1540</v>
      </c>
      <c r="B288" t="s">
        <v>3549</v>
      </c>
      <c r="C288" t="s">
        <v>74</v>
      </c>
      <c r="D288" t="s">
        <v>2810</v>
      </c>
      <c r="E288" t="s">
        <v>74</v>
      </c>
      <c r="F288" t="s">
        <v>3549</v>
      </c>
      <c r="G288" t="s">
        <v>74</v>
      </c>
      <c r="H288" t="s">
        <v>74</v>
      </c>
      <c r="I288" t="s">
        <v>3550</v>
      </c>
      <c r="J288" t="s">
        <v>2812</v>
      </c>
      <c r="K288" t="s">
        <v>2774</v>
      </c>
      <c r="L288" t="s">
        <v>74</v>
      </c>
      <c r="M288" t="s">
        <v>77</v>
      </c>
      <c r="N288" t="s">
        <v>379</v>
      </c>
      <c r="O288" t="s">
        <v>2814</v>
      </c>
      <c r="P288" t="s">
        <v>2815</v>
      </c>
      <c r="Q288" t="s">
        <v>2816</v>
      </c>
      <c r="R288" t="s">
        <v>74</v>
      </c>
      <c r="S288" t="s">
        <v>74</v>
      </c>
      <c r="T288" t="s">
        <v>74</v>
      </c>
      <c r="U288" t="s">
        <v>3551</v>
      </c>
      <c r="V288" t="s">
        <v>3552</v>
      </c>
      <c r="W288" t="s">
        <v>3553</v>
      </c>
      <c r="X288" t="s">
        <v>3023</v>
      </c>
      <c r="Y288" t="s">
        <v>3554</v>
      </c>
      <c r="Z288" t="s">
        <v>74</v>
      </c>
      <c r="AA288" t="s">
        <v>626</v>
      </c>
      <c r="AB288" t="s">
        <v>74</v>
      </c>
      <c r="AC288" t="s">
        <v>74</v>
      </c>
      <c r="AD288" t="s">
        <v>74</v>
      </c>
      <c r="AE288" t="s">
        <v>74</v>
      </c>
      <c r="AF288" t="s">
        <v>74</v>
      </c>
      <c r="AG288">
        <v>23</v>
      </c>
      <c r="AH288">
        <v>11</v>
      </c>
      <c r="AI288">
        <v>11</v>
      </c>
      <c r="AJ288">
        <v>0</v>
      </c>
      <c r="AK288">
        <v>2</v>
      </c>
      <c r="AL288" t="s">
        <v>2783</v>
      </c>
      <c r="AM288" t="s">
        <v>115</v>
      </c>
      <c r="AN288" t="s">
        <v>2856</v>
      </c>
      <c r="AO288" t="s">
        <v>2785</v>
      </c>
      <c r="AP288" t="s">
        <v>74</v>
      </c>
      <c r="AQ288" t="s">
        <v>2824</v>
      </c>
      <c r="AR288" t="s">
        <v>2787</v>
      </c>
      <c r="AS288" t="s">
        <v>74</v>
      </c>
      <c r="AT288" t="s">
        <v>74</v>
      </c>
      <c r="AU288">
        <v>1998</v>
      </c>
      <c r="AV288">
        <v>27</v>
      </c>
      <c r="AW288" t="s">
        <v>74</v>
      </c>
      <c r="AX288" t="s">
        <v>74</v>
      </c>
      <c r="AY288" t="s">
        <v>74</v>
      </c>
      <c r="AZ288" t="s">
        <v>74</v>
      </c>
      <c r="BA288" t="s">
        <v>74</v>
      </c>
      <c r="BB288">
        <v>521</v>
      </c>
      <c r="BC288">
        <v>527</v>
      </c>
      <c r="BD288" t="s">
        <v>74</v>
      </c>
      <c r="BE288" t="s">
        <v>74</v>
      </c>
      <c r="BF288" t="s">
        <v>74</v>
      </c>
      <c r="BG288" t="s">
        <v>74</v>
      </c>
      <c r="BH288" t="s">
        <v>74</v>
      </c>
      <c r="BI288">
        <v>7</v>
      </c>
      <c r="BJ288" t="s">
        <v>2826</v>
      </c>
      <c r="BK288" t="s">
        <v>397</v>
      </c>
      <c r="BL288" t="s">
        <v>2827</v>
      </c>
      <c r="BM288" t="s">
        <v>2828</v>
      </c>
      <c r="BN288" t="s">
        <v>74</v>
      </c>
      <c r="BO288" t="s">
        <v>74</v>
      </c>
      <c r="BP288" t="s">
        <v>74</v>
      </c>
      <c r="BQ288" t="s">
        <v>74</v>
      </c>
      <c r="BR288" t="s">
        <v>101</v>
      </c>
      <c r="BS288" t="s">
        <v>3555</v>
      </c>
      <c r="BT288" t="str">
        <f>HYPERLINK("https%3A%2F%2Fwww.webofscience.com%2Fwos%2Fwoscc%2Ffull-record%2FWOS:000079713100087","View Full Record in Web of Science")</f>
        <v>View Full Record in Web of Science</v>
      </c>
    </row>
    <row r="289" spans="1:72" x14ac:dyDescent="0.15">
      <c r="A289" t="s">
        <v>1540</v>
      </c>
      <c r="B289" t="s">
        <v>3556</v>
      </c>
      <c r="C289" t="s">
        <v>74</v>
      </c>
      <c r="D289" t="s">
        <v>2810</v>
      </c>
      <c r="E289" t="s">
        <v>74</v>
      </c>
      <c r="F289" t="s">
        <v>3556</v>
      </c>
      <c r="G289" t="s">
        <v>74</v>
      </c>
      <c r="H289" t="s">
        <v>74</v>
      </c>
      <c r="I289" t="s">
        <v>3557</v>
      </c>
      <c r="J289" t="s">
        <v>2812</v>
      </c>
      <c r="K289" t="s">
        <v>2774</v>
      </c>
      <c r="L289" t="s">
        <v>74</v>
      </c>
      <c r="M289" t="s">
        <v>77</v>
      </c>
      <c r="N289" t="s">
        <v>379</v>
      </c>
      <c r="O289" t="s">
        <v>2814</v>
      </c>
      <c r="P289" t="s">
        <v>2815</v>
      </c>
      <c r="Q289" t="s">
        <v>2816</v>
      </c>
      <c r="R289" t="s">
        <v>74</v>
      </c>
      <c r="S289" t="s">
        <v>74</v>
      </c>
      <c r="T289" t="s">
        <v>74</v>
      </c>
      <c r="U289" t="s">
        <v>74</v>
      </c>
      <c r="V289" t="s">
        <v>3558</v>
      </c>
      <c r="W289" t="s">
        <v>3559</v>
      </c>
      <c r="X289" t="s">
        <v>3560</v>
      </c>
      <c r="Y289" t="s">
        <v>3561</v>
      </c>
      <c r="Z289" t="s">
        <v>74</v>
      </c>
      <c r="AA289" t="s">
        <v>3562</v>
      </c>
      <c r="AB289" t="s">
        <v>3563</v>
      </c>
      <c r="AC289" t="s">
        <v>74</v>
      </c>
      <c r="AD289" t="s">
        <v>74</v>
      </c>
      <c r="AE289" t="s">
        <v>74</v>
      </c>
      <c r="AF289" t="s">
        <v>74</v>
      </c>
      <c r="AG289">
        <v>19</v>
      </c>
      <c r="AH289">
        <v>5</v>
      </c>
      <c r="AI289">
        <v>6</v>
      </c>
      <c r="AJ289">
        <v>0</v>
      </c>
      <c r="AK289">
        <v>2</v>
      </c>
      <c r="AL289" t="s">
        <v>2783</v>
      </c>
      <c r="AM289" t="s">
        <v>115</v>
      </c>
      <c r="AN289" t="s">
        <v>2856</v>
      </c>
      <c r="AO289" t="s">
        <v>2785</v>
      </c>
      <c r="AP289" t="s">
        <v>74</v>
      </c>
      <c r="AQ289" t="s">
        <v>2824</v>
      </c>
      <c r="AR289" t="s">
        <v>2787</v>
      </c>
      <c r="AS289" t="s">
        <v>74</v>
      </c>
      <c r="AT289" t="s">
        <v>74</v>
      </c>
      <c r="AU289">
        <v>1998</v>
      </c>
      <c r="AV289">
        <v>27</v>
      </c>
      <c r="AW289" t="s">
        <v>74</v>
      </c>
      <c r="AX289" t="s">
        <v>74</v>
      </c>
      <c r="AY289" t="s">
        <v>74</v>
      </c>
      <c r="AZ289" t="s">
        <v>74</v>
      </c>
      <c r="BA289" t="s">
        <v>74</v>
      </c>
      <c r="BB289">
        <v>528</v>
      </c>
      <c r="BC289">
        <v>534</v>
      </c>
      <c r="BD289" t="s">
        <v>74</v>
      </c>
      <c r="BE289" t="s">
        <v>74</v>
      </c>
      <c r="BF289" t="s">
        <v>74</v>
      </c>
      <c r="BG289" t="s">
        <v>74</v>
      </c>
      <c r="BH289" t="s">
        <v>74</v>
      </c>
      <c r="BI289">
        <v>7</v>
      </c>
      <c r="BJ289" t="s">
        <v>2826</v>
      </c>
      <c r="BK289" t="s">
        <v>397</v>
      </c>
      <c r="BL289" t="s">
        <v>2827</v>
      </c>
      <c r="BM289" t="s">
        <v>2828</v>
      </c>
      <c r="BN289" t="s">
        <v>74</v>
      </c>
      <c r="BO289" t="s">
        <v>74</v>
      </c>
      <c r="BP289" t="s">
        <v>74</v>
      </c>
      <c r="BQ289" t="s">
        <v>74</v>
      </c>
      <c r="BR289" t="s">
        <v>101</v>
      </c>
      <c r="BS289" t="s">
        <v>3564</v>
      </c>
      <c r="BT289" t="str">
        <f>HYPERLINK("https%3A%2F%2Fwww.webofscience.com%2Fwos%2Fwoscc%2Ffull-record%2FWOS:000079713100088","View Full Record in Web of Science")</f>
        <v>View Full Record in Web of Science</v>
      </c>
    </row>
    <row r="290" spans="1:72" x14ac:dyDescent="0.15">
      <c r="A290" t="s">
        <v>1540</v>
      </c>
      <c r="B290" t="s">
        <v>3565</v>
      </c>
      <c r="C290" t="s">
        <v>74</v>
      </c>
      <c r="D290" t="s">
        <v>2810</v>
      </c>
      <c r="E290" t="s">
        <v>74</v>
      </c>
      <c r="F290" t="s">
        <v>3565</v>
      </c>
      <c r="G290" t="s">
        <v>74</v>
      </c>
      <c r="H290" t="s">
        <v>74</v>
      </c>
      <c r="I290" t="s">
        <v>3566</v>
      </c>
      <c r="J290" t="s">
        <v>2812</v>
      </c>
      <c r="K290" t="s">
        <v>2774</v>
      </c>
      <c r="L290" t="s">
        <v>74</v>
      </c>
      <c r="M290" t="s">
        <v>77</v>
      </c>
      <c r="N290" t="s">
        <v>379</v>
      </c>
      <c r="O290" t="s">
        <v>2814</v>
      </c>
      <c r="P290" t="s">
        <v>2815</v>
      </c>
      <c r="Q290" t="s">
        <v>2816</v>
      </c>
      <c r="R290" t="s">
        <v>74</v>
      </c>
      <c r="S290" t="s">
        <v>74</v>
      </c>
      <c r="T290" t="s">
        <v>74</v>
      </c>
      <c r="U290" t="s">
        <v>3567</v>
      </c>
      <c r="V290" t="s">
        <v>3568</v>
      </c>
      <c r="W290" t="s">
        <v>3376</v>
      </c>
      <c r="X290" t="s">
        <v>3377</v>
      </c>
      <c r="Y290" t="s">
        <v>3378</v>
      </c>
      <c r="Z290" t="s">
        <v>74</v>
      </c>
      <c r="AA290" t="s">
        <v>3379</v>
      </c>
      <c r="AB290" t="s">
        <v>3380</v>
      </c>
      <c r="AC290" t="s">
        <v>74</v>
      </c>
      <c r="AD290" t="s">
        <v>74</v>
      </c>
      <c r="AE290" t="s">
        <v>74</v>
      </c>
      <c r="AF290" t="s">
        <v>74</v>
      </c>
      <c r="AG290">
        <v>32</v>
      </c>
      <c r="AH290">
        <v>19</v>
      </c>
      <c r="AI290">
        <v>19</v>
      </c>
      <c r="AJ290">
        <v>0</v>
      </c>
      <c r="AK290">
        <v>1</v>
      </c>
      <c r="AL290" t="s">
        <v>2783</v>
      </c>
      <c r="AM290" t="s">
        <v>115</v>
      </c>
      <c r="AN290" t="s">
        <v>2856</v>
      </c>
      <c r="AO290" t="s">
        <v>2785</v>
      </c>
      <c r="AP290" t="s">
        <v>74</v>
      </c>
      <c r="AQ290" t="s">
        <v>2824</v>
      </c>
      <c r="AR290" t="s">
        <v>2787</v>
      </c>
      <c r="AS290" t="s">
        <v>74</v>
      </c>
      <c r="AT290" t="s">
        <v>74</v>
      </c>
      <c r="AU290">
        <v>1998</v>
      </c>
      <c r="AV290">
        <v>27</v>
      </c>
      <c r="AW290" t="s">
        <v>74</v>
      </c>
      <c r="AX290" t="s">
        <v>74</v>
      </c>
      <c r="AY290" t="s">
        <v>74</v>
      </c>
      <c r="AZ290" t="s">
        <v>74</v>
      </c>
      <c r="BA290" t="s">
        <v>74</v>
      </c>
      <c r="BB290">
        <v>535</v>
      </c>
      <c r="BC290">
        <v>542</v>
      </c>
      <c r="BD290" t="s">
        <v>74</v>
      </c>
      <c r="BE290" t="s">
        <v>74</v>
      </c>
      <c r="BF290" t="s">
        <v>74</v>
      </c>
      <c r="BG290" t="s">
        <v>74</v>
      </c>
      <c r="BH290" t="s">
        <v>74</v>
      </c>
      <c r="BI290">
        <v>8</v>
      </c>
      <c r="BJ290" t="s">
        <v>2826</v>
      </c>
      <c r="BK290" t="s">
        <v>397</v>
      </c>
      <c r="BL290" t="s">
        <v>2827</v>
      </c>
      <c r="BM290" t="s">
        <v>2828</v>
      </c>
      <c r="BN290" t="s">
        <v>74</v>
      </c>
      <c r="BO290" t="s">
        <v>74</v>
      </c>
      <c r="BP290" t="s">
        <v>74</v>
      </c>
      <c r="BQ290" t="s">
        <v>74</v>
      </c>
      <c r="BR290" t="s">
        <v>101</v>
      </c>
      <c r="BS290" t="s">
        <v>3569</v>
      </c>
      <c r="BT290" t="str">
        <f>HYPERLINK("https%3A%2F%2Fwww.webofscience.com%2Fwos%2Fwoscc%2Ffull-record%2FWOS:000079713100089","View Full Record in Web of Science")</f>
        <v>View Full Record in Web of Science</v>
      </c>
    </row>
    <row r="291" spans="1:72" x14ac:dyDescent="0.15">
      <c r="A291" t="s">
        <v>1540</v>
      </c>
      <c r="B291" t="s">
        <v>3570</v>
      </c>
      <c r="C291" t="s">
        <v>74</v>
      </c>
      <c r="D291" t="s">
        <v>2810</v>
      </c>
      <c r="E291" t="s">
        <v>74</v>
      </c>
      <c r="F291" t="s">
        <v>3570</v>
      </c>
      <c r="G291" t="s">
        <v>74</v>
      </c>
      <c r="H291" t="s">
        <v>74</v>
      </c>
      <c r="I291" t="s">
        <v>3571</v>
      </c>
      <c r="J291" t="s">
        <v>2812</v>
      </c>
      <c r="K291" t="s">
        <v>2774</v>
      </c>
      <c r="L291" t="s">
        <v>74</v>
      </c>
      <c r="M291" t="s">
        <v>77</v>
      </c>
      <c r="N291" t="s">
        <v>379</v>
      </c>
      <c r="O291" t="s">
        <v>2814</v>
      </c>
      <c r="P291" t="s">
        <v>2815</v>
      </c>
      <c r="Q291" t="s">
        <v>2816</v>
      </c>
      <c r="R291" t="s">
        <v>74</v>
      </c>
      <c r="S291" t="s">
        <v>74</v>
      </c>
      <c r="T291" t="s">
        <v>74</v>
      </c>
      <c r="U291" t="s">
        <v>3572</v>
      </c>
      <c r="V291" t="s">
        <v>3573</v>
      </c>
      <c r="W291" t="s">
        <v>3574</v>
      </c>
      <c r="X291" t="s">
        <v>2835</v>
      </c>
      <c r="Y291" t="s">
        <v>3575</v>
      </c>
      <c r="Z291" t="s">
        <v>74</v>
      </c>
      <c r="AA291" t="s">
        <v>74</v>
      </c>
      <c r="AB291" t="s">
        <v>74</v>
      </c>
      <c r="AC291" t="s">
        <v>74</v>
      </c>
      <c r="AD291" t="s">
        <v>74</v>
      </c>
      <c r="AE291" t="s">
        <v>74</v>
      </c>
      <c r="AF291" t="s">
        <v>74</v>
      </c>
      <c r="AG291">
        <v>27</v>
      </c>
      <c r="AH291">
        <v>32</v>
      </c>
      <c r="AI291">
        <v>33</v>
      </c>
      <c r="AJ291">
        <v>0</v>
      </c>
      <c r="AK291">
        <v>26</v>
      </c>
      <c r="AL291" t="s">
        <v>2783</v>
      </c>
      <c r="AM291" t="s">
        <v>115</v>
      </c>
      <c r="AN291" t="s">
        <v>2856</v>
      </c>
      <c r="AO291" t="s">
        <v>2785</v>
      </c>
      <c r="AP291" t="s">
        <v>74</v>
      </c>
      <c r="AQ291" t="s">
        <v>2824</v>
      </c>
      <c r="AR291" t="s">
        <v>2787</v>
      </c>
      <c r="AS291" t="s">
        <v>74</v>
      </c>
      <c r="AT291" t="s">
        <v>74</v>
      </c>
      <c r="AU291">
        <v>1998</v>
      </c>
      <c r="AV291">
        <v>27</v>
      </c>
      <c r="AW291" t="s">
        <v>74</v>
      </c>
      <c r="AX291" t="s">
        <v>74</v>
      </c>
      <c r="AY291" t="s">
        <v>74</v>
      </c>
      <c r="AZ291" t="s">
        <v>74</v>
      </c>
      <c r="BA291" t="s">
        <v>74</v>
      </c>
      <c r="BB291">
        <v>543</v>
      </c>
      <c r="BC291">
        <v>552</v>
      </c>
      <c r="BD291" t="s">
        <v>74</v>
      </c>
      <c r="BE291" t="s">
        <v>74</v>
      </c>
      <c r="BF291" t="s">
        <v>74</v>
      </c>
      <c r="BG291" t="s">
        <v>74</v>
      </c>
      <c r="BH291" t="s">
        <v>74</v>
      </c>
      <c r="BI291">
        <v>10</v>
      </c>
      <c r="BJ291" t="s">
        <v>2826</v>
      </c>
      <c r="BK291" t="s">
        <v>397</v>
      </c>
      <c r="BL291" t="s">
        <v>2827</v>
      </c>
      <c r="BM291" t="s">
        <v>2828</v>
      </c>
      <c r="BN291" t="s">
        <v>74</v>
      </c>
      <c r="BO291" t="s">
        <v>74</v>
      </c>
      <c r="BP291" t="s">
        <v>74</v>
      </c>
      <c r="BQ291" t="s">
        <v>74</v>
      </c>
      <c r="BR291" t="s">
        <v>101</v>
      </c>
      <c r="BS291" t="s">
        <v>3576</v>
      </c>
      <c r="BT291" t="str">
        <f>HYPERLINK("https%3A%2F%2Fwww.webofscience.com%2Fwos%2Fwoscc%2Ffull-record%2FWOS:000079713100090","View Full Record in Web of Science")</f>
        <v>View Full Record in Web of Science</v>
      </c>
    </row>
    <row r="292" spans="1:72" x14ac:dyDescent="0.15">
      <c r="A292" t="s">
        <v>1540</v>
      </c>
      <c r="B292" t="s">
        <v>3577</v>
      </c>
      <c r="C292" t="s">
        <v>74</v>
      </c>
      <c r="D292" t="s">
        <v>2810</v>
      </c>
      <c r="E292" t="s">
        <v>74</v>
      </c>
      <c r="F292" t="s">
        <v>3577</v>
      </c>
      <c r="G292" t="s">
        <v>74</v>
      </c>
      <c r="H292" t="s">
        <v>74</v>
      </c>
      <c r="I292" t="s">
        <v>3578</v>
      </c>
      <c r="J292" t="s">
        <v>2812</v>
      </c>
      <c r="K292" t="s">
        <v>2774</v>
      </c>
      <c r="L292" t="s">
        <v>74</v>
      </c>
      <c r="M292" t="s">
        <v>77</v>
      </c>
      <c r="N292" t="s">
        <v>379</v>
      </c>
      <c r="O292" t="s">
        <v>2814</v>
      </c>
      <c r="P292" t="s">
        <v>2815</v>
      </c>
      <c r="Q292" t="s">
        <v>2816</v>
      </c>
      <c r="R292" t="s">
        <v>74</v>
      </c>
      <c r="S292" t="s">
        <v>74</v>
      </c>
      <c r="T292" t="s">
        <v>74</v>
      </c>
      <c r="U292" t="s">
        <v>3579</v>
      </c>
      <c r="V292" t="s">
        <v>3580</v>
      </c>
      <c r="W292" t="s">
        <v>3141</v>
      </c>
      <c r="X292" t="s">
        <v>672</v>
      </c>
      <c r="Y292" t="s">
        <v>3581</v>
      </c>
      <c r="Z292" t="s">
        <v>74</v>
      </c>
      <c r="AA292" t="s">
        <v>74</v>
      </c>
      <c r="AB292" t="s">
        <v>74</v>
      </c>
      <c r="AC292" t="s">
        <v>74</v>
      </c>
      <c r="AD292" t="s">
        <v>74</v>
      </c>
      <c r="AE292" t="s">
        <v>74</v>
      </c>
      <c r="AF292" t="s">
        <v>74</v>
      </c>
      <c r="AG292">
        <v>10</v>
      </c>
      <c r="AH292">
        <v>59</v>
      </c>
      <c r="AI292">
        <v>69</v>
      </c>
      <c r="AJ292">
        <v>0</v>
      </c>
      <c r="AK292">
        <v>6</v>
      </c>
      <c r="AL292" t="s">
        <v>2783</v>
      </c>
      <c r="AM292" t="s">
        <v>115</v>
      </c>
      <c r="AN292" t="s">
        <v>2856</v>
      </c>
      <c r="AO292" t="s">
        <v>2785</v>
      </c>
      <c r="AP292" t="s">
        <v>74</v>
      </c>
      <c r="AQ292" t="s">
        <v>2824</v>
      </c>
      <c r="AR292" t="s">
        <v>2787</v>
      </c>
      <c r="AS292" t="s">
        <v>74</v>
      </c>
      <c r="AT292" t="s">
        <v>74</v>
      </c>
      <c r="AU292">
        <v>1998</v>
      </c>
      <c r="AV292">
        <v>27</v>
      </c>
      <c r="AW292" t="s">
        <v>74</v>
      </c>
      <c r="AX292" t="s">
        <v>74</v>
      </c>
      <c r="AY292" t="s">
        <v>74</v>
      </c>
      <c r="AZ292" t="s">
        <v>74</v>
      </c>
      <c r="BA292" t="s">
        <v>74</v>
      </c>
      <c r="BB292">
        <v>553</v>
      </c>
      <c r="BC292">
        <v>559</v>
      </c>
      <c r="BD292" t="s">
        <v>74</v>
      </c>
      <c r="BE292" t="s">
        <v>74</v>
      </c>
      <c r="BF292" t="s">
        <v>74</v>
      </c>
      <c r="BG292" t="s">
        <v>74</v>
      </c>
      <c r="BH292" t="s">
        <v>74</v>
      </c>
      <c r="BI292">
        <v>7</v>
      </c>
      <c r="BJ292" t="s">
        <v>2826</v>
      </c>
      <c r="BK292" t="s">
        <v>397</v>
      </c>
      <c r="BL292" t="s">
        <v>2827</v>
      </c>
      <c r="BM292" t="s">
        <v>2828</v>
      </c>
      <c r="BN292" t="s">
        <v>74</v>
      </c>
      <c r="BO292" t="s">
        <v>74</v>
      </c>
      <c r="BP292" t="s">
        <v>74</v>
      </c>
      <c r="BQ292" t="s">
        <v>74</v>
      </c>
      <c r="BR292" t="s">
        <v>101</v>
      </c>
      <c r="BS292" t="s">
        <v>3582</v>
      </c>
      <c r="BT292" t="str">
        <f>HYPERLINK("https%3A%2F%2Fwww.webofscience.com%2Fwos%2Fwoscc%2Ffull-record%2FWOS:000079713100091","View Full Record in Web of Science")</f>
        <v>View Full Record in Web of Science</v>
      </c>
    </row>
    <row r="293" spans="1:72" x14ac:dyDescent="0.15">
      <c r="A293" t="s">
        <v>1540</v>
      </c>
      <c r="B293" t="s">
        <v>3583</v>
      </c>
      <c r="C293" t="s">
        <v>74</v>
      </c>
      <c r="D293" t="s">
        <v>2810</v>
      </c>
      <c r="E293" t="s">
        <v>74</v>
      </c>
      <c r="F293" t="s">
        <v>3583</v>
      </c>
      <c r="G293" t="s">
        <v>74</v>
      </c>
      <c r="H293" t="s">
        <v>74</v>
      </c>
      <c r="I293" t="s">
        <v>3584</v>
      </c>
      <c r="J293" t="s">
        <v>2812</v>
      </c>
      <c r="K293" t="s">
        <v>2774</v>
      </c>
      <c r="L293" t="s">
        <v>74</v>
      </c>
      <c r="M293" t="s">
        <v>77</v>
      </c>
      <c r="N293" t="s">
        <v>379</v>
      </c>
      <c r="O293" t="s">
        <v>2814</v>
      </c>
      <c r="P293" t="s">
        <v>2815</v>
      </c>
      <c r="Q293" t="s">
        <v>2816</v>
      </c>
      <c r="R293" t="s">
        <v>74</v>
      </c>
      <c r="S293" t="s">
        <v>74</v>
      </c>
      <c r="T293" t="s">
        <v>74</v>
      </c>
      <c r="U293" t="s">
        <v>3585</v>
      </c>
      <c r="V293" t="s">
        <v>3586</v>
      </c>
      <c r="W293" t="s">
        <v>3587</v>
      </c>
      <c r="X293" t="s">
        <v>3588</v>
      </c>
      <c r="Y293" t="s">
        <v>3589</v>
      </c>
      <c r="Z293" t="s">
        <v>74</v>
      </c>
      <c r="AA293" t="s">
        <v>3590</v>
      </c>
      <c r="AB293" t="s">
        <v>3591</v>
      </c>
      <c r="AC293" t="s">
        <v>74</v>
      </c>
      <c r="AD293" t="s">
        <v>74</v>
      </c>
      <c r="AE293" t="s">
        <v>74</v>
      </c>
      <c r="AF293" t="s">
        <v>74</v>
      </c>
      <c r="AG293">
        <v>21</v>
      </c>
      <c r="AH293">
        <v>9</v>
      </c>
      <c r="AI293">
        <v>10</v>
      </c>
      <c r="AJ293">
        <v>0</v>
      </c>
      <c r="AK293">
        <v>4</v>
      </c>
      <c r="AL293" t="s">
        <v>2783</v>
      </c>
      <c r="AM293" t="s">
        <v>115</v>
      </c>
      <c r="AN293" t="s">
        <v>2856</v>
      </c>
      <c r="AO293" t="s">
        <v>2785</v>
      </c>
      <c r="AP293" t="s">
        <v>74</v>
      </c>
      <c r="AQ293" t="s">
        <v>2824</v>
      </c>
      <c r="AR293" t="s">
        <v>2787</v>
      </c>
      <c r="AS293" t="s">
        <v>74</v>
      </c>
      <c r="AT293" t="s">
        <v>74</v>
      </c>
      <c r="AU293">
        <v>1998</v>
      </c>
      <c r="AV293">
        <v>27</v>
      </c>
      <c r="AW293" t="s">
        <v>74</v>
      </c>
      <c r="AX293" t="s">
        <v>74</v>
      </c>
      <c r="AY293" t="s">
        <v>74</v>
      </c>
      <c r="AZ293" t="s">
        <v>74</v>
      </c>
      <c r="BA293" t="s">
        <v>74</v>
      </c>
      <c r="BB293">
        <v>560</v>
      </c>
      <c r="BC293">
        <v>564</v>
      </c>
      <c r="BD293" t="s">
        <v>74</v>
      </c>
      <c r="BE293" t="s">
        <v>74</v>
      </c>
      <c r="BF293" t="s">
        <v>74</v>
      </c>
      <c r="BG293" t="s">
        <v>74</v>
      </c>
      <c r="BH293" t="s">
        <v>74</v>
      </c>
      <c r="BI293">
        <v>5</v>
      </c>
      <c r="BJ293" t="s">
        <v>2826</v>
      </c>
      <c r="BK293" t="s">
        <v>397</v>
      </c>
      <c r="BL293" t="s">
        <v>2827</v>
      </c>
      <c r="BM293" t="s">
        <v>2828</v>
      </c>
      <c r="BN293" t="s">
        <v>74</v>
      </c>
      <c r="BO293" t="s">
        <v>74</v>
      </c>
      <c r="BP293" t="s">
        <v>74</v>
      </c>
      <c r="BQ293" t="s">
        <v>74</v>
      </c>
      <c r="BR293" t="s">
        <v>101</v>
      </c>
      <c r="BS293" t="s">
        <v>3592</v>
      </c>
      <c r="BT293" t="str">
        <f>HYPERLINK("https%3A%2F%2Fwww.webofscience.com%2Fwos%2Fwoscc%2Ffull-record%2FWOS:000079713100092","View Full Record in Web of Science")</f>
        <v>View Full Record in Web of Science</v>
      </c>
    </row>
    <row r="294" spans="1:72" x14ac:dyDescent="0.15">
      <c r="A294" t="s">
        <v>1540</v>
      </c>
      <c r="B294" t="s">
        <v>3593</v>
      </c>
      <c r="C294" t="s">
        <v>74</v>
      </c>
      <c r="D294" t="s">
        <v>2810</v>
      </c>
      <c r="E294" t="s">
        <v>74</v>
      </c>
      <c r="F294" t="s">
        <v>3593</v>
      </c>
      <c r="G294" t="s">
        <v>74</v>
      </c>
      <c r="H294" t="s">
        <v>74</v>
      </c>
      <c r="I294" t="s">
        <v>3594</v>
      </c>
      <c r="J294" t="s">
        <v>2812</v>
      </c>
      <c r="K294" t="s">
        <v>2774</v>
      </c>
      <c r="L294" t="s">
        <v>74</v>
      </c>
      <c r="M294" t="s">
        <v>77</v>
      </c>
      <c r="N294" t="s">
        <v>379</v>
      </c>
      <c r="O294" t="s">
        <v>2814</v>
      </c>
      <c r="P294" t="s">
        <v>2815</v>
      </c>
      <c r="Q294" t="s">
        <v>2816</v>
      </c>
      <c r="R294" t="s">
        <v>74</v>
      </c>
      <c r="S294" t="s">
        <v>74</v>
      </c>
      <c r="T294" t="s">
        <v>74</v>
      </c>
      <c r="U294" t="s">
        <v>3595</v>
      </c>
      <c r="V294" t="s">
        <v>3596</v>
      </c>
      <c r="W294" t="s">
        <v>3597</v>
      </c>
      <c r="X294" t="s">
        <v>3598</v>
      </c>
      <c r="Y294" t="s">
        <v>3599</v>
      </c>
      <c r="Z294" t="s">
        <v>74</v>
      </c>
      <c r="AA294" t="s">
        <v>74</v>
      </c>
      <c r="AB294" t="s">
        <v>74</v>
      </c>
      <c r="AC294" t="s">
        <v>74</v>
      </c>
      <c r="AD294" t="s">
        <v>74</v>
      </c>
      <c r="AE294" t="s">
        <v>74</v>
      </c>
      <c r="AF294" t="s">
        <v>74</v>
      </c>
      <c r="AG294">
        <v>18</v>
      </c>
      <c r="AH294">
        <v>12</v>
      </c>
      <c r="AI294">
        <v>12</v>
      </c>
      <c r="AJ294">
        <v>0</v>
      </c>
      <c r="AK294">
        <v>0</v>
      </c>
      <c r="AL294" t="s">
        <v>2783</v>
      </c>
      <c r="AM294" t="s">
        <v>115</v>
      </c>
      <c r="AN294" t="s">
        <v>2856</v>
      </c>
      <c r="AO294" t="s">
        <v>2785</v>
      </c>
      <c r="AP294" t="s">
        <v>74</v>
      </c>
      <c r="AQ294" t="s">
        <v>2824</v>
      </c>
      <c r="AR294" t="s">
        <v>2787</v>
      </c>
      <c r="AS294" t="s">
        <v>74</v>
      </c>
      <c r="AT294" t="s">
        <v>74</v>
      </c>
      <c r="AU294">
        <v>1998</v>
      </c>
      <c r="AV294">
        <v>27</v>
      </c>
      <c r="AW294" t="s">
        <v>74</v>
      </c>
      <c r="AX294" t="s">
        <v>74</v>
      </c>
      <c r="AY294" t="s">
        <v>74</v>
      </c>
      <c r="AZ294" t="s">
        <v>74</v>
      </c>
      <c r="BA294" t="s">
        <v>74</v>
      </c>
      <c r="BB294">
        <v>565</v>
      </c>
      <c r="BC294">
        <v>570</v>
      </c>
      <c r="BD294" t="s">
        <v>74</v>
      </c>
      <c r="BE294" t="s">
        <v>74</v>
      </c>
      <c r="BF294" t="s">
        <v>74</v>
      </c>
      <c r="BG294" t="s">
        <v>74</v>
      </c>
      <c r="BH294" t="s">
        <v>74</v>
      </c>
      <c r="BI294">
        <v>6</v>
      </c>
      <c r="BJ294" t="s">
        <v>2826</v>
      </c>
      <c r="BK294" t="s">
        <v>397</v>
      </c>
      <c r="BL294" t="s">
        <v>2827</v>
      </c>
      <c r="BM294" t="s">
        <v>2828</v>
      </c>
      <c r="BN294" t="s">
        <v>74</v>
      </c>
      <c r="BO294" t="s">
        <v>74</v>
      </c>
      <c r="BP294" t="s">
        <v>74</v>
      </c>
      <c r="BQ294" t="s">
        <v>74</v>
      </c>
      <c r="BR294" t="s">
        <v>101</v>
      </c>
      <c r="BS294" t="s">
        <v>3600</v>
      </c>
      <c r="BT294" t="str">
        <f>HYPERLINK("https%3A%2F%2Fwww.webofscience.com%2Fwos%2Fwoscc%2Ffull-record%2FWOS:000079713100093","View Full Record in Web of Science")</f>
        <v>View Full Record in Web of Science</v>
      </c>
    </row>
    <row r="295" spans="1:72" x14ac:dyDescent="0.15">
      <c r="A295" t="s">
        <v>1540</v>
      </c>
      <c r="B295" t="s">
        <v>3601</v>
      </c>
      <c r="C295" t="s">
        <v>74</v>
      </c>
      <c r="D295" t="s">
        <v>2810</v>
      </c>
      <c r="E295" t="s">
        <v>74</v>
      </c>
      <c r="F295" t="s">
        <v>3601</v>
      </c>
      <c r="G295" t="s">
        <v>74</v>
      </c>
      <c r="H295" t="s">
        <v>74</v>
      </c>
      <c r="I295" t="s">
        <v>3602</v>
      </c>
      <c r="J295" t="s">
        <v>2812</v>
      </c>
      <c r="K295" t="s">
        <v>2774</v>
      </c>
      <c r="L295" t="s">
        <v>74</v>
      </c>
      <c r="M295" t="s">
        <v>77</v>
      </c>
      <c r="N295" t="s">
        <v>379</v>
      </c>
      <c r="O295" t="s">
        <v>2814</v>
      </c>
      <c r="P295" t="s">
        <v>2815</v>
      </c>
      <c r="Q295" t="s">
        <v>2816</v>
      </c>
      <c r="R295" t="s">
        <v>74</v>
      </c>
      <c r="S295" t="s">
        <v>74</v>
      </c>
      <c r="T295" t="s">
        <v>74</v>
      </c>
      <c r="U295" t="s">
        <v>3603</v>
      </c>
      <c r="V295" t="s">
        <v>3604</v>
      </c>
      <c r="W295" t="s">
        <v>372</v>
      </c>
      <c r="X295" t="s">
        <v>322</v>
      </c>
      <c r="Y295" t="s">
        <v>3605</v>
      </c>
      <c r="Z295" t="s">
        <v>74</v>
      </c>
      <c r="AA295" t="s">
        <v>74</v>
      </c>
      <c r="AB295" t="s">
        <v>74</v>
      </c>
      <c r="AC295" t="s">
        <v>74</v>
      </c>
      <c r="AD295" t="s">
        <v>74</v>
      </c>
      <c r="AE295" t="s">
        <v>74</v>
      </c>
      <c r="AF295" t="s">
        <v>74</v>
      </c>
      <c r="AG295">
        <v>17</v>
      </c>
      <c r="AH295">
        <v>127</v>
      </c>
      <c r="AI295">
        <v>138</v>
      </c>
      <c r="AJ295">
        <v>0</v>
      </c>
      <c r="AK295">
        <v>15</v>
      </c>
      <c r="AL295" t="s">
        <v>2783</v>
      </c>
      <c r="AM295" t="s">
        <v>115</v>
      </c>
      <c r="AN295" t="s">
        <v>2856</v>
      </c>
      <c r="AO295" t="s">
        <v>2785</v>
      </c>
      <c r="AP295" t="s">
        <v>74</v>
      </c>
      <c r="AQ295" t="s">
        <v>2824</v>
      </c>
      <c r="AR295" t="s">
        <v>2787</v>
      </c>
      <c r="AS295" t="s">
        <v>74</v>
      </c>
      <c r="AT295" t="s">
        <v>74</v>
      </c>
      <c r="AU295">
        <v>1998</v>
      </c>
      <c r="AV295">
        <v>27</v>
      </c>
      <c r="AW295" t="s">
        <v>74</v>
      </c>
      <c r="AX295" t="s">
        <v>74</v>
      </c>
      <c r="AY295" t="s">
        <v>74</v>
      </c>
      <c r="AZ295" t="s">
        <v>74</v>
      </c>
      <c r="BA295" t="s">
        <v>74</v>
      </c>
      <c r="BB295">
        <v>571</v>
      </c>
      <c r="BC295">
        <v>575</v>
      </c>
      <c r="BD295" t="s">
        <v>74</v>
      </c>
      <c r="BE295" t="s">
        <v>74</v>
      </c>
      <c r="BF295" t="s">
        <v>74</v>
      </c>
      <c r="BG295" t="s">
        <v>74</v>
      </c>
      <c r="BH295" t="s">
        <v>74</v>
      </c>
      <c r="BI295">
        <v>5</v>
      </c>
      <c r="BJ295" t="s">
        <v>2826</v>
      </c>
      <c r="BK295" t="s">
        <v>397</v>
      </c>
      <c r="BL295" t="s">
        <v>2827</v>
      </c>
      <c r="BM295" t="s">
        <v>2828</v>
      </c>
      <c r="BN295" t="s">
        <v>74</v>
      </c>
      <c r="BO295" t="s">
        <v>74</v>
      </c>
      <c r="BP295" t="s">
        <v>74</v>
      </c>
      <c r="BQ295" t="s">
        <v>74</v>
      </c>
      <c r="BR295" t="s">
        <v>101</v>
      </c>
      <c r="BS295" t="s">
        <v>3606</v>
      </c>
      <c r="BT295" t="str">
        <f>HYPERLINK("https%3A%2F%2Fwww.webofscience.com%2Fwos%2Fwoscc%2Ffull-record%2FWOS:000079713100094","View Full Record in Web of Science")</f>
        <v>View Full Record in Web of Science</v>
      </c>
    </row>
    <row r="296" spans="1:72" x14ac:dyDescent="0.15">
      <c r="A296" t="s">
        <v>1540</v>
      </c>
      <c r="B296" t="s">
        <v>3607</v>
      </c>
      <c r="C296" t="s">
        <v>74</v>
      </c>
      <c r="D296" t="s">
        <v>2810</v>
      </c>
      <c r="E296" t="s">
        <v>74</v>
      </c>
      <c r="F296" t="s">
        <v>3607</v>
      </c>
      <c r="G296" t="s">
        <v>74</v>
      </c>
      <c r="H296" t="s">
        <v>74</v>
      </c>
      <c r="I296" t="s">
        <v>3608</v>
      </c>
      <c r="J296" t="s">
        <v>2812</v>
      </c>
      <c r="K296" t="s">
        <v>2774</v>
      </c>
      <c r="L296" t="s">
        <v>74</v>
      </c>
      <c r="M296" t="s">
        <v>77</v>
      </c>
      <c r="N296" t="s">
        <v>379</v>
      </c>
      <c r="O296" t="s">
        <v>2814</v>
      </c>
      <c r="P296" t="s">
        <v>2815</v>
      </c>
      <c r="Q296" t="s">
        <v>2816</v>
      </c>
      <c r="R296" t="s">
        <v>74</v>
      </c>
      <c r="S296" t="s">
        <v>74</v>
      </c>
      <c r="T296" t="s">
        <v>74</v>
      </c>
      <c r="U296" t="s">
        <v>3609</v>
      </c>
      <c r="V296" t="s">
        <v>3610</v>
      </c>
      <c r="W296" t="s">
        <v>3611</v>
      </c>
      <c r="X296" t="s">
        <v>3612</v>
      </c>
      <c r="Y296" t="s">
        <v>3613</v>
      </c>
      <c r="Z296" t="s">
        <v>74</v>
      </c>
      <c r="AA296" t="s">
        <v>74</v>
      </c>
      <c r="AB296" t="s">
        <v>74</v>
      </c>
      <c r="AC296" t="s">
        <v>74</v>
      </c>
      <c r="AD296" t="s">
        <v>74</v>
      </c>
      <c r="AE296" t="s">
        <v>74</v>
      </c>
      <c r="AF296" t="s">
        <v>74</v>
      </c>
      <c r="AG296">
        <v>15</v>
      </c>
      <c r="AH296">
        <v>2</v>
      </c>
      <c r="AI296">
        <v>2</v>
      </c>
      <c r="AJ296">
        <v>0</v>
      </c>
      <c r="AK296">
        <v>0</v>
      </c>
      <c r="AL296" t="s">
        <v>2783</v>
      </c>
      <c r="AM296" t="s">
        <v>115</v>
      </c>
      <c r="AN296" t="s">
        <v>2856</v>
      </c>
      <c r="AO296" t="s">
        <v>2785</v>
      </c>
      <c r="AP296" t="s">
        <v>74</v>
      </c>
      <c r="AQ296" t="s">
        <v>2824</v>
      </c>
      <c r="AR296" t="s">
        <v>2787</v>
      </c>
      <c r="AS296" t="s">
        <v>74</v>
      </c>
      <c r="AT296" t="s">
        <v>74</v>
      </c>
      <c r="AU296">
        <v>1998</v>
      </c>
      <c r="AV296">
        <v>27</v>
      </c>
      <c r="AW296" t="s">
        <v>74</v>
      </c>
      <c r="AX296" t="s">
        <v>74</v>
      </c>
      <c r="AY296" t="s">
        <v>74</v>
      </c>
      <c r="AZ296" t="s">
        <v>74</v>
      </c>
      <c r="BA296" t="s">
        <v>74</v>
      </c>
      <c r="BB296">
        <v>576</v>
      </c>
      <c r="BC296">
        <v>582</v>
      </c>
      <c r="BD296" t="s">
        <v>74</v>
      </c>
      <c r="BE296" t="s">
        <v>74</v>
      </c>
      <c r="BF296" t="s">
        <v>74</v>
      </c>
      <c r="BG296" t="s">
        <v>74</v>
      </c>
      <c r="BH296" t="s">
        <v>74</v>
      </c>
      <c r="BI296">
        <v>7</v>
      </c>
      <c r="BJ296" t="s">
        <v>2826</v>
      </c>
      <c r="BK296" t="s">
        <v>397</v>
      </c>
      <c r="BL296" t="s">
        <v>2827</v>
      </c>
      <c r="BM296" t="s">
        <v>2828</v>
      </c>
      <c r="BN296" t="s">
        <v>74</v>
      </c>
      <c r="BO296" t="s">
        <v>74</v>
      </c>
      <c r="BP296" t="s">
        <v>74</v>
      </c>
      <c r="BQ296" t="s">
        <v>74</v>
      </c>
      <c r="BR296" t="s">
        <v>101</v>
      </c>
      <c r="BS296" t="s">
        <v>3614</v>
      </c>
      <c r="BT296" t="str">
        <f>HYPERLINK("https%3A%2F%2Fwww.webofscience.com%2Fwos%2Fwoscc%2Ffull-record%2FWOS:000079713100095","View Full Record in Web of Science")</f>
        <v>View Full Record in Web of Science</v>
      </c>
    </row>
    <row r="297" spans="1:72" x14ac:dyDescent="0.15">
      <c r="A297" t="s">
        <v>1540</v>
      </c>
      <c r="B297" t="s">
        <v>3615</v>
      </c>
      <c r="C297" t="s">
        <v>74</v>
      </c>
      <c r="D297" t="s">
        <v>2810</v>
      </c>
      <c r="E297" t="s">
        <v>74</v>
      </c>
      <c r="F297" t="s">
        <v>3615</v>
      </c>
      <c r="G297" t="s">
        <v>74</v>
      </c>
      <c r="H297" t="s">
        <v>74</v>
      </c>
      <c r="I297" t="s">
        <v>3616</v>
      </c>
      <c r="J297" t="s">
        <v>2812</v>
      </c>
      <c r="K297" t="s">
        <v>2813</v>
      </c>
      <c r="L297" t="s">
        <v>74</v>
      </c>
      <c r="M297" t="s">
        <v>77</v>
      </c>
      <c r="N297" t="s">
        <v>379</v>
      </c>
      <c r="O297" t="s">
        <v>2814</v>
      </c>
      <c r="P297" t="s">
        <v>2815</v>
      </c>
      <c r="Q297" t="s">
        <v>2816</v>
      </c>
      <c r="R297" t="s">
        <v>74</v>
      </c>
      <c r="S297" t="s">
        <v>74</v>
      </c>
      <c r="T297" t="s">
        <v>74</v>
      </c>
      <c r="U297" t="s">
        <v>3617</v>
      </c>
      <c r="V297" t="s">
        <v>3618</v>
      </c>
      <c r="W297" t="s">
        <v>3619</v>
      </c>
      <c r="X297" t="s">
        <v>3620</v>
      </c>
      <c r="Y297" t="s">
        <v>3621</v>
      </c>
      <c r="Z297" t="s">
        <v>74</v>
      </c>
      <c r="AA297" t="s">
        <v>74</v>
      </c>
      <c r="AB297" t="s">
        <v>3622</v>
      </c>
      <c r="AC297" t="s">
        <v>74</v>
      </c>
      <c r="AD297" t="s">
        <v>74</v>
      </c>
      <c r="AE297" t="s">
        <v>74</v>
      </c>
      <c r="AF297" t="s">
        <v>74</v>
      </c>
      <c r="AG297">
        <v>33</v>
      </c>
      <c r="AH297">
        <v>14</v>
      </c>
      <c r="AI297">
        <v>15</v>
      </c>
      <c r="AJ297">
        <v>0</v>
      </c>
      <c r="AK297">
        <v>0</v>
      </c>
      <c r="AL297" t="s">
        <v>2783</v>
      </c>
      <c r="AM297" t="s">
        <v>115</v>
      </c>
      <c r="AN297" t="s">
        <v>2784</v>
      </c>
      <c r="AO297" t="s">
        <v>2785</v>
      </c>
      <c r="AP297" t="s">
        <v>74</v>
      </c>
      <c r="AQ297" t="s">
        <v>2824</v>
      </c>
      <c r="AR297" t="s">
        <v>2825</v>
      </c>
      <c r="AS297" t="s">
        <v>74</v>
      </c>
      <c r="AT297" t="s">
        <v>74</v>
      </c>
      <c r="AU297">
        <v>1998</v>
      </c>
      <c r="AV297">
        <v>27</v>
      </c>
      <c r="AW297" t="s">
        <v>74</v>
      </c>
      <c r="AX297" t="s">
        <v>74</v>
      </c>
      <c r="AY297" t="s">
        <v>74</v>
      </c>
      <c r="AZ297" t="s">
        <v>74</v>
      </c>
      <c r="BA297" t="s">
        <v>74</v>
      </c>
      <c r="BB297">
        <v>583</v>
      </c>
      <c r="BC297">
        <v>590</v>
      </c>
      <c r="BD297" t="s">
        <v>74</v>
      </c>
      <c r="BE297" t="s">
        <v>74</v>
      </c>
      <c r="BF297" t="s">
        <v>74</v>
      </c>
      <c r="BG297" t="s">
        <v>74</v>
      </c>
      <c r="BH297" t="s">
        <v>74</v>
      </c>
      <c r="BI297">
        <v>8</v>
      </c>
      <c r="BJ297" t="s">
        <v>2826</v>
      </c>
      <c r="BK297" t="s">
        <v>397</v>
      </c>
      <c r="BL297" t="s">
        <v>2827</v>
      </c>
      <c r="BM297" t="s">
        <v>2828</v>
      </c>
      <c r="BN297" t="s">
        <v>74</v>
      </c>
      <c r="BO297" t="s">
        <v>74</v>
      </c>
      <c r="BP297" t="s">
        <v>74</v>
      </c>
      <c r="BQ297" t="s">
        <v>74</v>
      </c>
      <c r="BR297" t="s">
        <v>101</v>
      </c>
      <c r="BS297" t="s">
        <v>3623</v>
      </c>
      <c r="BT297" t="str">
        <f>HYPERLINK("https%3A%2F%2Fwww.webofscience.com%2Fwos%2Fwoscc%2Ffull-record%2FWOS:000079713100096","View Full Record in Web of Science")</f>
        <v>View Full Record in Web of Science</v>
      </c>
    </row>
    <row r="298" spans="1:72" x14ac:dyDescent="0.15">
      <c r="A298" t="s">
        <v>1540</v>
      </c>
      <c r="B298" t="s">
        <v>3624</v>
      </c>
      <c r="C298" t="s">
        <v>74</v>
      </c>
      <c r="D298" t="s">
        <v>2810</v>
      </c>
      <c r="E298" t="s">
        <v>74</v>
      </c>
      <c r="F298" t="s">
        <v>3624</v>
      </c>
      <c r="G298" t="s">
        <v>74</v>
      </c>
      <c r="H298" t="s">
        <v>74</v>
      </c>
      <c r="I298" t="s">
        <v>3625</v>
      </c>
      <c r="J298" t="s">
        <v>2812</v>
      </c>
      <c r="K298" t="s">
        <v>2774</v>
      </c>
      <c r="L298" t="s">
        <v>74</v>
      </c>
      <c r="M298" t="s">
        <v>77</v>
      </c>
      <c r="N298" t="s">
        <v>379</v>
      </c>
      <c r="O298" t="s">
        <v>2814</v>
      </c>
      <c r="P298" t="s">
        <v>2815</v>
      </c>
      <c r="Q298" t="s">
        <v>2816</v>
      </c>
      <c r="R298" t="s">
        <v>74</v>
      </c>
      <c r="S298" t="s">
        <v>74</v>
      </c>
      <c r="T298" t="s">
        <v>74</v>
      </c>
      <c r="U298" t="s">
        <v>3626</v>
      </c>
      <c r="V298" t="s">
        <v>3627</v>
      </c>
      <c r="W298" t="s">
        <v>372</v>
      </c>
      <c r="X298" t="s">
        <v>322</v>
      </c>
      <c r="Y298" t="s">
        <v>3628</v>
      </c>
      <c r="Z298" t="s">
        <v>74</v>
      </c>
      <c r="AA298" t="s">
        <v>74</v>
      </c>
      <c r="AB298" t="s">
        <v>74</v>
      </c>
      <c r="AC298" t="s">
        <v>74</v>
      </c>
      <c r="AD298" t="s">
        <v>74</v>
      </c>
      <c r="AE298" t="s">
        <v>74</v>
      </c>
      <c r="AF298" t="s">
        <v>74</v>
      </c>
      <c r="AG298">
        <v>10</v>
      </c>
      <c r="AH298">
        <v>16</v>
      </c>
      <c r="AI298">
        <v>17</v>
      </c>
      <c r="AJ298">
        <v>0</v>
      </c>
      <c r="AK298">
        <v>1</v>
      </c>
      <c r="AL298" t="s">
        <v>2783</v>
      </c>
      <c r="AM298" t="s">
        <v>115</v>
      </c>
      <c r="AN298" t="s">
        <v>2856</v>
      </c>
      <c r="AO298" t="s">
        <v>2785</v>
      </c>
      <c r="AP298" t="s">
        <v>74</v>
      </c>
      <c r="AQ298" t="s">
        <v>2824</v>
      </c>
      <c r="AR298" t="s">
        <v>2787</v>
      </c>
      <c r="AS298" t="s">
        <v>74</v>
      </c>
      <c r="AT298" t="s">
        <v>74</v>
      </c>
      <c r="AU298">
        <v>1998</v>
      </c>
      <c r="AV298">
        <v>27</v>
      </c>
      <c r="AW298" t="s">
        <v>74</v>
      </c>
      <c r="AX298" t="s">
        <v>74</v>
      </c>
      <c r="AY298" t="s">
        <v>74</v>
      </c>
      <c r="AZ298" t="s">
        <v>74</v>
      </c>
      <c r="BA298" t="s">
        <v>74</v>
      </c>
      <c r="BB298">
        <v>591</v>
      </c>
      <c r="BC298">
        <v>596</v>
      </c>
      <c r="BD298" t="s">
        <v>74</v>
      </c>
      <c r="BE298" t="s">
        <v>74</v>
      </c>
      <c r="BF298" t="s">
        <v>74</v>
      </c>
      <c r="BG298" t="s">
        <v>74</v>
      </c>
      <c r="BH298" t="s">
        <v>74</v>
      </c>
      <c r="BI298">
        <v>6</v>
      </c>
      <c r="BJ298" t="s">
        <v>2826</v>
      </c>
      <c r="BK298" t="s">
        <v>397</v>
      </c>
      <c r="BL298" t="s">
        <v>2827</v>
      </c>
      <c r="BM298" t="s">
        <v>2828</v>
      </c>
      <c r="BN298" t="s">
        <v>74</v>
      </c>
      <c r="BO298" t="s">
        <v>74</v>
      </c>
      <c r="BP298" t="s">
        <v>74</v>
      </c>
      <c r="BQ298" t="s">
        <v>74</v>
      </c>
      <c r="BR298" t="s">
        <v>101</v>
      </c>
      <c r="BS298" t="s">
        <v>3629</v>
      </c>
      <c r="BT298" t="str">
        <f>HYPERLINK("https%3A%2F%2Fwww.webofscience.com%2Fwos%2Fwoscc%2Ffull-record%2FWOS:000079713100097","View Full Record in Web of Science")</f>
        <v>View Full Record in Web of Science</v>
      </c>
    </row>
    <row r="299" spans="1:72" x14ac:dyDescent="0.15">
      <c r="A299" t="s">
        <v>1540</v>
      </c>
      <c r="B299" t="s">
        <v>3630</v>
      </c>
      <c r="C299" t="s">
        <v>74</v>
      </c>
      <c r="D299" t="s">
        <v>2810</v>
      </c>
      <c r="E299" t="s">
        <v>74</v>
      </c>
      <c r="F299" t="s">
        <v>3630</v>
      </c>
      <c r="G299" t="s">
        <v>74</v>
      </c>
      <c r="H299" t="s">
        <v>74</v>
      </c>
      <c r="I299" t="s">
        <v>3631</v>
      </c>
      <c r="J299" t="s">
        <v>2812</v>
      </c>
      <c r="K299" t="s">
        <v>2774</v>
      </c>
      <c r="L299" t="s">
        <v>74</v>
      </c>
      <c r="M299" t="s">
        <v>77</v>
      </c>
      <c r="N299" t="s">
        <v>379</v>
      </c>
      <c r="O299" t="s">
        <v>2814</v>
      </c>
      <c r="P299" t="s">
        <v>2815</v>
      </c>
      <c r="Q299" t="s">
        <v>2816</v>
      </c>
      <c r="R299" t="s">
        <v>74</v>
      </c>
      <c r="S299" t="s">
        <v>74</v>
      </c>
      <c r="T299" t="s">
        <v>74</v>
      </c>
      <c r="U299" t="s">
        <v>3632</v>
      </c>
      <c r="V299" t="s">
        <v>3633</v>
      </c>
      <c r="W299" t="s">
        <v>3634</v>
      </c>
      <c r="X299" t="s">
        <v>3635</v>
      </c>
      <c r="Y299" t="s">
        <v>3636</v>
      </c>
      <c r="Z299" t="s">
        <v>74</v>
      </c>
      <c r="AA299" t="s">
        <v>74</v>
      </c>
      <c r="AB299" t="s">
        <v>74</v>
      </c>
      <c r="AC299" t="s">
        <v>74</v>
      </c>
      <c r="AD299" t="s">
        <v>74</v>
      </c>
      <c r="AE299" t="s">
        <v>74</v>
      </c>
      <c r="AF299" t="s">
        <v>74</v>
      </c>
      <c r="AG299">
        <v>12</v>
      </c>
      <c r="AH299">
        <v>8</v>
      </c>
      <c r="AI299">
        <v>8</v>
      </c>
      <c r="AJ299">
        <v>0</v>
      </c>
      <c r="AK299">
        <v>2</v>
      </c>
      <c r="AL299" t="s">
        <v>2783</v>
      </c>
      <c r="AM299" t="s">
        <v>115</v>
      </c>
      <c r="AN299" t="s">
        <v>2856</v>
      </c>
      <c r="AO299" t="s">
        <v>2785</v>
      </c>
      <c r="AP299" t="s">
        <v>74</v>
      </c>
      <c r="AQ299" t="s">
        <v>2824</v>
      </c>
      <c r="AR299" t="s">
        <v>2787</v>
      </c>
      <c r="AS299" t="s">
        <v>74</v>
      </c>
      <c r="AT299" t="s">
        <v>74</v>
      </c>
      <c r="AU299">
        <v>1998</v>
      </c>
      <c r="AV299">
        <v>27</v>
      </c>
      <c r="AW299" t="s">
        <v>74</v>
      </c>
      <c r="AX299" t="s">
        <v>74</v>
      </c>
      <c r="AY299" t="s">
        <v>74</v>
      </c>
      <c r="AZ299" t="s">
        <v>74</v>
      </c>
      <c r="BA299" t="s">
        <v>74</v>
      </c>
      <c r="BB299">
        <v>597</v>
      </c>
      <c r="BC299">
        <v>602</v>
      </c>
      <c r="BD299" t="s">
        <v>74</v>
      </c>
      <c r="BE299" t="s">
        <v>74</v>
      </c>
      <c r="BF299" t="s">
        <v>74</v>
      </c>
      <c r="BG299" t="s">
        <v>74</v>
      </c>
      <c r="BH299" t="s">
        <v>74</v>
      </c>
      <c r="BI299">
        <v>6</v>
      </c>
      <c r="BJ299" t="s">
        <v>2826</v>
      </c>
      <c r="BK299" t="s">
        <v>397</v>
      </c>
      <c r="BL299" t="s">
        <v>2827</v>
      </c>
      <c r="BM299" t="s">
        <v>2828</v>
      </c>
      <c r="BN299" t="s">
        <v>74</v>
      </c>
      <c r="BO299" t="s">
        <v>74</v>
      </c>
      <c r="BP299" t="s">
        <v>74</v>
      </c>
      <c r="BQ299" t="s">
        <v>74</v>
      </c>
      <c r="BR299" t="s">
        <v>101</v>
      </c>
      <c r="BS299" t="s">
        <v>3637</v>
      </c>
      <c r="BT299" t="str">
        <f>HYPERLINK("https%3A%2F%2Fwww.webofscience.com%2Fwos%2Fwoscc%2Ffull-record%2FWOS:000079713100098","View Full Record in Web of Science")</f>
        <v>View Full Record in Web of Science</v>
      </c>
    </row>
    <row r="300" spans="1:72" x14ac:dyDescent="0.15">
      <c r="A300" t="s">
        <v>1540</v>
      </c>
      <c r="B300" t="s">
        <v>3638</v>
      </c>
      <c r="C300" t="s">
        <v>74</v>
      </c>
      <c r="D300" t="s">
        <v>2810</v>
      </c>
      <c r="E300" t="s">
        <v>74</v>
      </c>
      <c r="F300" t="s">
        <v>3638</v>
      </c>
      <c r="G300" t="s">
        <v>74</v>
      </c>
      <c r="H300" t="s">
        <v>74</v>
      </c>
      <c r="I300" t="s">
        <v>3639</v>
      </c>
      <c r="J300" t="s">
        <v>2812</v>
      </c>
      <c r="K300" t="s">
        <v>2774</v>
      </c>
      <c r="L300" t="s">
        <v>74</v>
      </c>
      <c r="M300" t="s">
        <v>77</v>
      </c>
      <c r="N300" t="s">
        <v>379</v>
      </c>
      <c r="O300" t="s">
        <v>2814</v>
      </c>
      <c r="P300" t="s">
        <v>2815</v>
      </c>
      <c r="Q300" t="s">
        <v>2816</v>
      </c>
      <c r="R300" t="s">
        <v>74</v>
      </c>
      <c r="S300" t="s">
        <v>74</v>
      </c>
      <c r="T300" t="s">
        <v>74</v>
      </c>
      <c r="U300" t="s">
        <v>3640</v>
      </c>
      <c r="V300" t="s">
        <v>3641</v>
      </c>
      <c r="W300" t="s">
        <v>3642</v>
      </c>
      <c r="X300" t="s">
        <v>3643</v>
      </c>
      <c r="Y300" t="s">
        <v>3644</v>
      </c>
      <c r="Z300" t="s">
        <v>74</v>
      </c>
      <c r="AA300" t="s">
        <v>74</v>
      </c>
      <c r="AB300" t="s">
        <v>74</v>
      </c>
      <c r="AC300" t="s">
        <v>74</v>
      </c>
      <c r="AD300" t="s">
        <v>74</v>
      </c>
      <c r="AE300" t="s">
        <v>74</v>
      </c>
      <c r="AF300" t="s">
        <v>74</v>
      </c>
      <c r="AG300">
        <v>15</v>
      </c>
      <c r="AH300">
        <v>49</v>
      </c>
      <c r="AI300">
        <v>58</v>
      </c>
      <c r="AJ300">
        <v>1</v>
      </c>
      <c r="AK300">
        <v>7</v>
      </c>
      <c r="AL300" t="s">
        <v>2783</v>
      </c>
      <c r="AM300" t="s">
        <v>115</v>
      </c>
      <c r="AN300" t="s">
        <v>2856</v>
      </c>
      <c r="AO300" t="s">
        <v>2785</v>
      </c>
      <c r="AP300" t="s">
        <v>74</v>
      </c>
      <c r="AQ300" t="s">
        <v>2824</v>
      </c>
      <c r="AR300" t="s">
        <v>2787</v>
      </c>
      <c r="AS300" t="s">
        <v>74</v>
      </c>
      <c r="AT300" t="s">
        <v>74</v>
      </c>
      <c r="AU300">
        <v>1998</v>
      </c>
      <c r="AV300">
        <v>27</v>
      </c>
      <c r="AW300" t="s">
        <v>74</v>
      </c>
      <c r="AX300" t="s">
        <v>74</v>
      </c>
      <c r="AY300" t="s">
        <v>74</v>
      </c>
      <c r="AZ300" t="s">
        <v>74</v>
      </c>
      <c r="BA300" t="s">
        <v>74</v>
      </c>
      <c r="BB300">
        <v>603</v>
      </c>
      <c r="BC300">
        <v>609</v>
      </c>
      <c r="BD300" t="s">
        <v>74</v>
      </c>
      <c r="BE300" t="s">
        <v>74</v>
      </c>
      <c r="BF300" t="s">
        <v>74</v>
      </c>
      <c r="BG300" t="s">
        <v>74</v>
      </c>
      <c r="BH300" t="s">
        <v>74</v>
      </c>
      <c r="BI300">
        <v>7</v>
      </c>
      <c r="BJ300" t="s">
        <v>2826</v>
      </c>
      <c r="BK300" t="s">
        <v>397</v>
      </c>
      <c r="BL300" t="s">
        <v>2827</v>
      </c>
      <c r="BM300" t="s">
        <v>2828</v>
      </c>
      <c r="BN300" t="s">
        <v>74</v>
      </c>
      <c r="BO300" t="s">
        <v>74</v>
      </c>
      <c r="BP300" t="s">
        <v>74</v>
      </c>
      <c r="BQ300" t="s">
        <v>74</v>
      </c>
      <c r="BR300" t="s">
        <v>101</v>
      </c>
      <c r="BS300" t="s">
        <v>3645</v>
      </c>
      <c r="BT300" t="str">
        <f>HYPERLINK("https%3A%2F%2Fwww.webofscience.com%2Fwos%2Fwoscc%2Ffull-record%2FWOS:000079713100099","View Full Record in Web of Science")</f>
        <v>View Full Record in Web of Science</v>
      </c>
    </row>
    <row r="301" spans="1:72" x14ac:dyDescent="0.15">
      <c r="A301" t="s">
        <v>1540</v>
      </c>
      <c r="B301" t="s">
        <v>3646</v>
      </c>
      <c r="C301" t="s">
        <v>74</v>
      </c>
      <c r="D301" t="s">
        <v>2810</v>
      </c>
      <c r="E301" t="s">
        <v>74</v>
      </c>
      <c r="F301" t="s">
        <v>3646</v>
      </c>
      <c r="G301" t="s">
        <v>74</v>
      </c>
      <c r="H301" t="s">
        <v>74</v>
      </c>
      <c r="I301" t="s">
        <v>3647</v>
      </c>
      <c r="J301" t="s">
        <v>2812</v>
      </c>
      <c r="K301" t="s">
        <v>2774</v>
      </c>
      <c r="L301" t="s">
        <v>74</v>
      </c>
      <c r="M301" t="s">
        <v>77</v>
      </c>
      <c r="N301" t="s">
        <v>379</v>
      </c>
      <c r="O301" t="s">
        <v>2814</v>
      </c>
      <c r="P301" t="s">
        <v>2815</v>
      </c>
      <c r="Q301" t="s">
        <v>2816</v>
      </c>
      <c r="R301" t="s">
        <v>74</v>
      </c>
      <c r="S301" t="s">
        <v>74</v>
      </c>
      <c r="T301" t="s">
        <v>74</v>
      </c>
      <c r="U301" t="s">
        <v>3648</v>
      </c>
      <c r="V301" t="s">
        <v>3649</v>
      </c>
      <c r="W301" t="s">
        <v>372</v>
      </c>
      <c r="X301" t="s">
        <v>322</v>
      </c>
      <c r="Y301" t="s">
        <v>3650</v>
      </c>
      <c r="Z301" t="s">
        <v>74</v>
      </c>
      <c r="AA301" t="s">
        <v>74</v>
      </c>
      <c r="AB301" t="s">
        <v>74</v>
      </c>
      <c r="AC301" t="s">
        <v>74</v>
      </c>
      <c r="AD301" t="s">
        <v>74</v>
      </c>
      <c r="AE301" t="s">
        <v>74</v>
      </c>
      <c r="AF301" t="s">
        <v>74</v>
      </c>
      <c r="AG301">
        <v>25</v>
      </c>
      <c r="AH301">
        <v>9</v>
      </c>
      <c r="AI301">
        <v>9</v>
      </c>
      <c r="AJ301">
        <v>0</v>
      </c>
      <c r="AK301">
        <v>0</v>
      </c>
      <c r="AL301" t="s">
        <v>2783</v>
      </c>
      <c r="AM301" t="s">
        <v>115</v>
      </c>
      <c r="AN301" t="s">
        <v>2856</v>
      </c>
      <c r="AO301" t="s">
        <v>2785</v>
      </c>
      <c r="AP301" t="s">
        <v>74</v>
      </c>
      <c r="AQ301" t="s">
        <v>2824</v>
      </c>
      <c r="AR301" t="s">
        <v>2787</v>
      </c>
      <c r="AS301" t="s">
        <v>74</v>
      </c>
      <c r="AT301" t="s">
        <v>74</v>
      </c>
      <c r="AU301">
        <v>1998</v>
      </c>
      <c r="AV301">
        <v>27</v>
      </c>
      <c r="AW301" t="s">
        <v>74</v>
      </c>
      <c r="AX301" t="s">
        <v>74</v>
      </c>
      <c r="AY301" t="s">
        <v>74</v>
      </c>
      <c r="AZ301" t="s">
        <v>74</v>
      </c>
      <c r="BA301" t="s">
        <v>74</v>
      </c>
      <c r="BB301">
        <v>610</v>
      </c>
      <c r="BC301">
        <v>616</v>
      </c>
      <c r="BD301" t="s">
        <v>74</v>
      </c>
      <c r="BE301" t="s">
        <v>74</v>
      </c>
      <c r="BF301" t="s">
        <v>74</v>
      </c>
      <c r="BG301" t="s">
        <v>74</v>
      </c>
      <c r="BH301" t="s">
        <v>74</v>
      </c>
      <c r="BI301">
        <v>7</v>
      </c>
      <c r="BJ301" t="s">
        <v>2826</v>
      </c>
      <c r="BK301" t="s">
        <v>397</v>
      </c>
      <c r="BL301" t="s">
        <v>2827</v>
      </c>
      <c r="BM301" t="s">
        <v>2828</v>
      </c>
      <c r="BN301" t="s">
        <v>74</v>
      </c>
      <c r="BO301" t="s">
        <v>74</v>
      </c>
      <c r="BP301" t="s">
        <v>74</v>
      </c>
      <c r="BQ301" t="s">
        <v>74</v>
      </c>
      <c r="BR301" t="s">
        <v>101</v>
      </c>
      <c r="BS301" t="s">
        <v>3651</v>
      </c>
      <c r="BT301" t="str">
        <f>HYPERLINK("https%3A%2F%2Fwww.webofscience.com%2Fwos%2Fwoscc%2Ffull-record%2FWOS:000079713100100","View Full Record in Web of Science")</f>
        <v>View Full Record in Web of Science</v>
      </c>
    </row>
    <row r="302" spans="1:72" x14ac:dyDescent="0.15">
      <c r="A302" t="s">
        <v>1540</v>
      </c>
      <c r="B302" t="s">
        <v>3652</v>
      </c>
      <c r="C302" t="s">
        <v>74</v>
      </c>
      <c r="D302" t="s">
        <v>2810</v>
      </c>
      <c r="E302" t="s">
        <v>74</v>
      </c>
      <c r="F302" t="s">
        <v>3652</v>
      </c>
      <c r="G302" t="s">
        <v>74</v>
      </c>
      <c r="H302" t="s">
        <v>74</v>
      </c>
      <c r="I302" t="s">
        <v>3653</v>
      </c>
      <c r="J302" t="s">
        <v>2812</v>
      </c>
      <c r="K302" t="s">
        <v>2774</v>
      </c>
      <c r="L302" t="s">
        <v>74</v>
      </c>
      <c r="M302" t="s">
        <v>77</v>
      </c>
      <c r="N302" t="s">
        <v>379</v>
      </c>
      <c r="O302" t="s">
        <v>2814</v>
      </c>
      <c r="P302" t="s">
        <v>2815</v>
      </c>
      <c r="Q302" t="s">
        <v>2816</v>
      </c>
      <c r="R302" t="s">
        <v>74</v>
      </c>
      <c r="S302" t="s">
        <v>74</v>
      </c>
      <c r="T302" t="s">
        <v>74</v>
      </c>
      <c r="U302" t="s">
        <v>3654</v>
      </c>
      <c r="V302" t="s">
        <v>3655</v>
      </c>
      <c r="W302" t="s">
        <v>3656</v>
      </c>
      <c r="X302" t="s">
        <v>3657</v>
      </c>
      <c r="Y302" t="s">
        <v>3658</v>
      </c>
      <c r="Z302" t="s">
        <v>74</v>
      </c>
      <c r="AA302" t="s">
        <v>74</v>
      </c>
      <c r="AB302" t="s">
        <v>3404</v>
      </c>
      <c r="AC302" t="s">
        <v>74</v>
      </c>
      <c r="AD302" t="s">
        <v>74</v>
      </c>
      <c r="AE302" t="s">
        <v>74</v>
      </c>
      <c r="AF302" t="s">
        <v>74</v>
      </c>
      <c r="AG302">
        <v>31</v>
      </c>
      <c r="AH302">
        <v>13</v>
      </c>
      <c r="AI302">
        <v>13</v>
      </c>
      <c r="AJ302">
        <v>1</v>
      </c>
      <c r="AK302">
        <v>6</v>
      </c>
      <c r="AL302" t="s">
        <v>2783</v>
      </c>
      <c r="AM302" t="s">
        <v>115</v>
      </c>
      <c r="AN302" t="s">
        <v>2856</v>
      </c>
      <c r="AO302" t="s">
        <v>2785</v>
      </c>
      <c r="AP302" t="s">
        <v>74</v>
      </c>
      <c r="AQ302" t="s">
        <v>2824</v>
      </c>
      <c r="AR302" t="s">
        <v>2787</v>
      </c>
      <c r="AS302" t="s">
        <v>74</v>
      </c>
      <c r="AT302" t="s">
        <v>74</v>
      </c>
      <c r="AU302">
        <v>1998</v>
      </c>
      <c r="AV302">
        <v>27</v>
      </c>
      <c r="AW302" t="s">
        <v>74</v>
      </c>
      <c r="AX302" t="s">
        <v>74</v>
      </c>
      <c r="AY302" t="s">
        <v>74</v>
      </c>
      <c r="AZ302" t="s">
        <v>74</v>
      </c>
      <c r="BA302" t="s">
        <v>74</v>
      </c>
      <c r="BB302">
        <v>617</v>
      </c>
      <c r="BC302">
        <v>622</v>
      </c>
      <c r="BD302" t="s">
        <v>74</v>
      </c>
      <c r="BE302" t="s">
        <v>74</v>
      </c>
      <c r="BF302" t="s">
        <v>74</v>
      </c>
      <c r="BG302" t="s">
        <v>74</v>
      </c>
      <c r="BH302" t="s">
        <v>74</v>
      </c>
      <c r="BI302">
        <v>6</v>
      </c>
      <c r="BJ302" t="s">
        <v>2826</v>
      </c>
      <c r="BK302" t="s">
        <v>397</v>
      </c>
      <c r="BL302" t="s">
        <v>2827</v>
      </c>
      <c r="BM302" t="s">
        <v>2828</v>
      </c>
      <c r="BN302" t="s">
        <v>74</v>
      </c>
      <c r="BO302" t="s">
        <v>74</v>
      </c>
      <c r="BP302" t="s">
        <v>74</v>
      </c>
      <c r="BQ302" t="s">
        <v>74</v>
      </c>
      <c r="BR302" t="s">
        <v>101</v>
      </c>
      <c r="BS302" t="s">
        <v>3659</v>
      </c>
      <c r="BT302" t="str">
        <f>HYPERLINK("https%3A%2F%2Fwww.webofscience.com%2Fwos%2Fwoscc%2Ffull-record%2FWOS:000079713100101","View Full Record in Web of Science")</f>
        <v>View Full Record in Web of Science</v>
      </c>
    </row>
    <row r="303" spans="1:72" x14ac:dyDescent="0.15">
      <c r="A303" t="s">
        <v>1540</v>
      </c>
      <c r="B303" t="s">
        <v>3660</v>
      </c>
      <c r="C303" t="s">
        <v>74</v>
      </c>
      <c r="D303" t="s">
        <v>2810</v>
      </c>
      <c r="E303" t="s">
        <v>74</v>
      </c>
      <c r="F303" t="s">
        <v>3660</v>
      </c>
      <c r="G303" t="s">
        <v>74</v>
      </c>
      <c r="H303" t="s">
        <v>74</v>
      </c>
      <c r="I303" t="s">
        <v>3661</v>
      </c>
      <c r="J303" t="s">
        <v>2812</v>
      </c>
      <c r="K303" t="s">
        <v>2774</v>
      </c>
      <c r="L303" t="s">
        <v>74</v>
      </c>
      <c r="M303" t="s">
        <v>77</v>
      </c>
      <c r="N303" t="s">
        <v>379</v>
      </c>
      <c r="O303" t="s">
        <v>2814</v>
      </c>
      <c r="P303" t="s">
        <v>2815</v>
      </c>
      <c r="Q303" t="s">
        <v>2816</v>
      </c>
      <c r="R303" t="s">
        <v>74</v>
      </c>
      <c r="S303" t="s">
        <v>74</v>
      </c>
      <c r="T303" t="s">
        <v>74</v>
      </c>
      <c r="U303" t="s">
        <v>3640</v>
      </c>
      <c r="V303" t="s">
        <v>3662</v>
      </c>
      <c r="W303" t="s">
        <v>3663</v>
      </c>
      <c r="X303" t="s">
        <v>3664</v>
      </c>
      <c r="Y303" t="s">
        <v>3665</v>
      </c>
      <c r="Z303" t="s">
        <v>74</v>
      </c>
      <c r="AA303" t="s">
        <v>3666</v>
      </c>
      <c r="AB303" t="s">
        <v>3667</v>
      </c>
      <c r="AC303" t="s">
        <v>74</v>
      </c>
      <c r="AD303" t="s">
        <v>74</v>
      </c>
      <c r="AE303" t="s">
        <v>74</v>
      </c>
      <c r="AF303" t="s">
        <v>74</v>
      </c>
      <c r="AG303">
        <v>16</v>
      </c>
      <c r="AH303">
        <v>0</v>
      </c>
      <c r="AI303">
        <v>0</v>
      </c>
      <c r="AJ303">
        <v>0</v>
      </c>
      <c r="AK303">
        <v>1</v>
      </c>
      <c r="AL303" t="s">
        <v>2783</v>
      </c>
      <c r="AM303" t="s">
        <v>115</v>
      </c>
      <c r="AN303" t="s">
        <v>2856</v>
      </c>
      <c r="AO303" t="s">
        <v>2785</v>
      </c>
      <c r="AP303" t="s">
        <v>74</v>
      </c>
      <c r="AQ303" t="s">
        <v>2824</v>
      </c>
      <c r="AR303" t="s">
        <v>2787</v>
      </c>
      <c r="AS303" t="s">
        <v>74</v>
      </c>
      <c r="AT303" t="s">
        <v>74</v>
      </c>
      <c r="AU303">
        <v>1998</v>
      </c>
      <c r="AV303">
        <v>27</v>
      </c>
      <c r="AW303" t="s">
        <v>74</v>
      </c>
      <c r="AX303" t="s">
        <v>74</v>
      </c>
      <c r="AY303" t="s">
        <v>74</v>
      </c>
      <c r="AZ303" t="s">
        <v>74</v>
      </c>
      <c r="BA303" t="s">
        <v>74</v>
      </c>
      <c r="BB303">
        <v>623</v>
      </c>
      <c r="BC303">
        <v>627</v>
      </c>
      <c r="BD303" t="s">
        <v>74</v>
      </c>
      <c r="BE303" t="s">
        <v>74</v>
      </c>
      <c r="BF303" t="s">
        <v>74</v>
      </c>
      <c r="BG303" t="s">
        <v>74</v>
      </c>
      <c r="BH303" t="s">
        <v>74</v>
      </c>
      <c r="BI303">
        <v>5</v>
      </c>
      <c r="BJ303" t="s">
        <v>2826</v>
      </c>
      <c r="BK303" t="s">
        <v>397</v>
      </c>
      <c r="BL303" t="s">
        <v>2827</v>
      </c>
      <c r="BM303" t="s">
        <v>2828</v>
      </c>
      <c r="BN303" t="s">
        <v>74</v>
      </c>
      <c r="BO303" t="s">
        <v>74</v>
      </c>
      <c r="BP303" t="s">
        <v>74</v>
      </c>
      <c r="BQ303" t="s">
        <v>74</v>
      </c>
      <c r="BR303" t="s">
        <v>101</v>
      </c>
      <c r="BS303" t="s">
        <v>3668</v>
      </c>
      <c r="BT303" t="str">
        <f>HYPERLINK("https%3A%2F%2Fwww.webofscience.com%2Fwos%2Fwoscc%2Ffull-record%2FWOS:000079713100102","View Full Record in Web of Science")</f>
        <v>View Full Record in Web of Science</v>
      </c>
    </row>
    <row r="304" spans="1:72" x14ac:dyDescent="0.15">
      <c r="A304" t="s">
        <v>1540</v>
      </c>
      <c r="B304" t="s">
        <v>3669</v>
      </c>
      <c r="C304" t="s">
        <v>74</v>
      </c>
      <c r="D304" t="s">
        <v>2810</v>
      </c>
      <c r="E304" t="s">
        <v>74</v>
      </c>
      <c r="F304" t="s">
        <v>3669</v>
      </c>
      <c r="G304" t="s">
        <v>74</v>
      </c>
      <c r="H304" t="s">
        <v>74</v>
      </c>
      <c r="I304" t="s">
        <v>3670</v>
      </c>
      <c r="J304" t="s">
        <v>2812</v>
      </c>
      <c r="K304" t="s">
        <v>2813</v>
      </c>
      <c r="L304" t="s">
        <v>74</v>
      </c>
      <c r="M304" t="s">
        <v>77</v>
      </c>
      <c r="N304" t="s">
        <v>379</v>
      </c>
      <c r="O304" t="s">
        <v>2814</v>
      </c>
      <c r="P304" t="s">
        <v>2815</v>
      </c>
      <c r="Q304" t="s">
        <v>2816</v>
      </c>
      <c r="R304" t="s">
        <v>74</v>
      </c>
      <c r="S304" t="s">
        <v>74</v>
      </c>
      <c r="T304" t="s">
        <v>74</v>
      </c>
      <c r="U304" t="s">
        <v>3671</v>
      </c>
      <c r="V304" t="s">
        <v>3672</v>
      </c>
      <c r="W304" t="s">
        <v>3673</v>
      </c>
      <c r="X304" t="s">
        <v>3674</v>
      </c>
      <c r="Y304" t="s">
        <v>3675</v>
      </c>
      <c r="Z304" t="s">
        <v>74</v>
      </c>
      <c r="AA304" t="s">
        <v>2938</v>
      </c>
      <c r="AB304" t="s">
        <v>2939</v>
      </c>
      <c r="AC304" t="s">
        <v>74</v>
      </c>
      <c r="AD304" t="s">
        <v>74</v>
      </c>
      <c r="AE304" t="s">
        <v>74</v>
      </c>
      <c r="AF304" t="s">
        <v>74</v>
      </c>
      <c r="AG304">
        <v>15</v>
      </c>
      <c r="AH304">
        <v>72</v>
      </c>
      <c r="AI304">
        <v>78</v>
      </c>
      <c r="AJ304">
        <v>0</v>
      </c>
      <c r="AK304">
        <v>5</v>
      </c>
      <c r="AL304" t="s">
        <v>2783</v>
      </c>
      <c r="AM304" t="s">
        <v>115</v>
      </c>
      <c r="AN304" t="s">
        <v>2784</v>
      </c>
      <c r="AO304" t="s">
        <v>2785</v>
      </c>
      <c r="AP304" t="s">
        <v>74</v>
      </c>
      <c r="AQ304" t="s">
        <v>2824</v>
      </c>
      <c r="AR304" t="s">
        <v>2825</v>
      </c>
      <c r="AS304" t="s">
        <v>74</v>
      </c>
      <c r="AT304" t="s">
        <v>74</v>
      </c>
      <c r="AU304">
        <v>1998</v>
      </c>
      <c r="AV304">
        <v>27</v>
      </c>
      <c r="AW304" t="s">
        <v>74</v>
      </c>
      <c r="AX304" t="s">
        <v>74</v>
      </c>
      <c r="AY304" t="s">
        <v>74</v>
      </c>
      <c r="AZ304" t="s">
        <v>74</v>
      </c>
      <c r="BA304" t="s">
        <v>74</v>
      </c>
      <c r="BB304">
        <v>628</v>
      </c>
      <c r="BC304">
        <v>632</v>
      </c>
      <c r="BD304" t="s">
        <v>74</v>
      </c>
      <c r="BE304" t="s">
        <v>74</v>
      </c>
      <c r="BF304" t="s">
        <v>74</v>
      </c>
      <c r="BG304" t="s">
        <v>74</v>
      </c>
      <c r="BH304" t="s">
        <v>74</v>
      </c>
      <c r="BI304">
        <v>5</v>
      </c>
      <c r="BJ304" t="s">
        <v>2826</v>
      </c>
      <c r="BK304" t="s">
        <v>397</v>
      </c>
      <c r="BL304" t="s">
        <v>2827</v>
      </c>
      <c r="BM304" t="s">
        <v>2828</v>
      </c>
      <c r="BN304" t="s">
        <v>74</v>
      </c>
      <c r="BO304" t="s">
        <v>74</v>
      </c>
      <c r="BP304" t="s">
        <v>74</v>
      </c>
      <c r="BQ304" t="s">
        <v>74</v>
      </c>
      <c r="BR304" t="s">
        <v>101</v>
      </c>
      <c r="BS304" t="s">
        <v>3676</v>
      </c>
      <c r="BT304" t="str">
        <f>HYPERLINK("https%3A%2F%2Fwww.webofscience.com%2Fwos%2Fwoscc%2Ffull-record%2FWOS:000079713100103","View Full Record in Web of Science")</f>
        <v>View Full Record in Web of Science</v>
      </c>
    </row>
    <row r="305" spans="1:72" x14ac:dyDescent="0.15">
      <c r="A305" t="s">
        <v>1540</v>
      </c>
      <c r="B305" t="s">
        <v>3677</v>
      </c>
      <c r="C305" t="s">
        <v>74</v>
      </c>
      <c r="D305" t="s">
        <v>2810</v>
      </c>
      <c r="E305" t="s">
        <v>74</v>
      </c>
      <c r="F305" t="s">
        <v>3677</v>
      </c>
      <c r="G305" t="s">
        <v>74</v>
      </c>
      <c r="H305" t="s">
        <v>74</v>
      </c>
      <c r="I305" t="s">
        <v>3678</v>
      </c>
      <c r="J305" t="s">
        <v>2812</v>
      </c>
      <c r="K305" t="s">
        <v>2813</v>
      </c>
      <c r="L305" t="s">
        <v>74</v>
      </c>
      <c r="M305" t="s">
        <v>77</v>
      </c>
      <c r="N305" t="s">
        <v>379</v>
      </c>
      <c r="O305" t="s">
        <v>2814</v>
      </c>
      <c r="P305" t="s">
        <v>2815</v>
      </c>
      <c r="Q305" t="s">
        <v>2816</v>
      </c>
      <c r="R305" t="s">
        <v>74</v>
      </c>
      <c r="S305" t="s">
        <v>74</v>
      </c>
      <c r="T305" t="s">
        <v>74</v>
      </c>
      <c r="U305" t="s">
        <v>3679</v>
      </c>
      <c r="V305" t="s">
        <v>3680</v>
      </c>
      <c r="W305" t="s">
        <v>3681</v>
      </c>
      <c r="X305" t="s">
        <v>3682</v>
      </c>
      <c r="Y305" t="s">
        <v>3683</v>
      </c>
      <c r="Z305" t="s">
        <v>74</v>
      </c>
      <c r="AA305" t="s">
        <v>74</v>
      </c>
      <c r="AB305" t="s">
        <v>74</v>
      </c>
      <c r="AC305" t="s">
        <v>74</v>
      </c>
      <c r="AD305" t="s">
        <v>74</v>
      </c>
      <c r="AE305" t="s">
        <v>74</v>
      </c>
      <c r="AF305" t="s">
        <v>74</v>
      </c>
      <c r="AG305">
        <v>10</v>
      </c>
      <c r="AH305">
        <v>52</v>
      </c>
      <c r="AI305">
        <v>55</v>
      </c>
      <c r="AJ305">
        <v>0</v>
      </c>
      <c r="AK305">
        <v>2</v>
      </c>
      <c r="AL305" t="s">
        <v>2783</v>
      </c>
      <c r="AM305" t="s">
        <v>115</v>
      </c>
      <c r="AN305" t="s">
        <v>2784</v>
      </c>
      <c r="AO305" t="s">
        <v>2785</v>
      </c>
      <c r="AP305" t="s">
        <v>74</v>
      </c>
      <c r="AQ305" t="s">
        <v>2824</v>
      </c>
      <c r="AR305" t="s">
        <v>2825</v>
      </c>
      <c r="AS305" t="s">
        <v>74</v>
      </c>
      <c r="AT305" t="s">
        <v>74</v>
      </c>
      <c r="AU305">
        <v>1998</v>
      </c>
      <c r="AV305">
        <v>27</v>
      </c>
      <c r="AW305" t="s">
        <v>74</v>
      </c>
      <c r="AX305" t="s">
        <v>74</v>
      </c>
      <c r="AY305" t="s">
        <v>74</v>
      </c>
      <c r="AZ305" t="s">
        <v>74</v>
      </c>
      <c r="BA305" t="s">
        <v>74</v>
      </c>
      <c r="BB305">
        <v>633</v>
      </c>
      <c r="BC305">
        <v>635</v>
      </c>
      <c r="BD305" t="s">
        <v>74</v>
      </c>
      <c r="BE305" t="s">
        <v>74</v>
      </c>
      <c r="BF305" t="s">
        <v>74</v>
      </c>
      <c r="BG305" t="s">
        <v>74</v>
      </c>
      <c r="BH305" t="s">
        <v>74</v>
      </c>
      <c r="BI305">
        <v>3</v>
      </c>
      <c r="BJ305" t="s">
        <v>2826</v>
      </c>
      <c r="BK305" t="s">
        <v>397</v>
      </c>
      <c r="BL305" t="s">
        <v>2827</v>
      </c>
      <c r="BM305" t="s">
        <v>2828</v>
      </c>
      <c r="BN305" t="s">
        <v>74</v>
      </c>
      <c r="BO305" t="s">
        <v>74</v>
      </c>
      <c r="BP305" t="s">
        <v>74</v>
      </c>
      <c r="BQ305" t="s">
        <v>74</v>
      </c>
      <c r="BR305" t="s">
        <v>101</v>
      </c>
      <c r="BS305" t="s">
        <v>3684</v>
      </c>
      <c r="BT305" t="str">
        <f>HYPERLINK("https%3A%2F%2Fwww.webofscience.com%2Fwos%2Fwoscc%2Ffull-record%2FWOS:000079713100104","View Full Record in Web of Science")</f>
        <v>View Full Record in Web of Science</v>
      </c>
    </row>
    <row r="306" spans="1:72" x14ac:dyDescent="0.15">
      <c r="A306" t="s">
        <v>1540</v>
      </c>
      <c r="B306" t="s">
        <v>3685</v>
      </c>
      <c r="C306" t="s">
        <v>74</v>
      </c>
      <c r="D306" t="s">
        <v>2810</v>
      </c>
      <c r="E306" t="s">
        <v>74</v>
      </c>
      <c r="F306" t="s">
        <v>3685</v>
      </c>
      <c r="G306" t="s">
        <v>74</v>
      </c>
      <c r="H306" t="s">
        <v>74</v>
      </c>
      <c r="I306" t="s">
        <v>3686</v>
      </c>
      <c r="J306" t="s">
        <v>2812</v>
      </c>
      <c r="K306" t="s">
        <v>2774</v>
      </c>
      <c r="L306" t="s">
        <v>74</v>
      </c>
      <c r="M306" t="s">
        <v>77</v>
      </c>
      <c r="N306" t="s">
        <v>379</v>
      </c>
      <c r="O306" t="s">
        <v>2814</v>
      </c>
      <c r="P306" t="s">
        <v>2815</v>
      </c>
      <c r="Q306" t="s">
        <v>2816</v>
      </c>
      <c r="R306" t="s">
        <v>74</v>
      </c>
      <c r="S306" t="s">
        <v>74</v>
      </c>
      <c r="T306" t="s">
        <v>74</v>
      </c>
      <c r="U306" t="s">
        <v>74</v>
      </c>
      <c r="V306" t="s">
        <v>3687</v>
      </c>
      <c r="W306" t="s">
        <v>372</v>
      </c>
      <c r="X306" t="s">
        <v>322</v>
      </c>
      <c r="Y306" t="s">
        <v>3688</v>
      </c>
      <c r="Z306" t="s">
        <v>74</v>
      </c>
      <c r="AA306" t="s">
        <v>74</v>
      </c>
      <c r="AB306" t="s">
        <v>74</v>
      </c>
      <c r="AC306" t="s">
        <v>74</v>
      </c>
      <c r="AD306" t="s">
        <v>74</v>
      </c>
      <c r="AE306" t="s">
        <v>74</v>
      </c>
      <c r="AF306" t="s">
        <v>74</v>
      </c>
      <c r="AG306">
        <v>6</v>
      </c>
      <c r="AH306">
        <v>67</v>
      </c>
      <c r="AI306">
        <v>73</v>
      </c>
      <c r="AJ306">
        <v>1</v>
      </c>
      <c r="AK306">
        <v>10</v>
      </c>
      <c r="AL306" t="s">
        <v>2783</v>
      </c>
      <c r="AM306" t="s">
        <v>115</v>
      </c>
      <c r="AN306" t="s">
        <v>2856</v>
      </c>
      <c r="AO306" t="s">
        <v>2785</v>
      </c>
      <c r="AP306" t="s">
        <v>74</v>
      </c>
      <c r="AQ306" t="s">
        <v>2824</v>
      </c>
      <c r="AR306" t="s">
        <v>2787</v>
      </c>
      <c r="AS306" t="s">
        <v>74</v>
      </c>
      <c r="AT306" t="s">
        <v>74</v>
      </c>
      <c r="AU306">
        <v>1998</v>
      </c>
      <c r="AV306">
        <v>27</v>
      </c>
      <c r="AW306" t="s">
        <v>74</v>
      </c>
      <c r="AX306" t="s">
        <v>74</v>
      </c>
      <c r="AY306" t="s">
        <v>74</v>
      </c>
      <c r="AZ306" t="s">
        <v>74</v>
      </c>
      <c r="BA306" t="s">
        <v>74</v>
      </c>
      <c r="BB306">
        <v>636</v>
      </c>
      <c r="BC306">
        <v>642</v>
      </c>
      <c r="BD306" t="s">
        <v>74</v>
      </c>
      <c r="BE306" t="s">
        <v>74</v>
      </c>
      <c r="BF306" t="s">
        <v>74</v>
      </c>
      <c r="BG306" t="s">
        <v>74</v>
      </c>
      <c r="BH306" t="s">
        <v>74</v>
      </c>
      <c r="BI306">
        <v>7</v>
      </c>
      <c r="BJ306" t="s">
        <v>2826</v>
      </c>
      <c r="BK306" t="s">
        <v>397</v>
      </c>
      <c r="BL306" t="s">
        <v>2827</v>
      </c>
      <c r="BM306" t="s">
        <v>2828</v>
      </c>
      <c r="BN306" t="s">
        <v>74</v>
      </c>
      <c r="BO306" t="s">
        <v>74</v>
      </c>
      <c r="BP306" t="s">
        <v>74</v>
      </c>
      <c r="BQ306" t="s">
        <v>74</v>
      </c>
      <c r="BR306" t="s">
        <v>101</v>
      </c>
      <c r="BS306" t="s">
        <v>3689</v>
      </c>
      <c r="BT306" t="str">
        <f>HYPERLINK("https%3A%2F%2Fwww.webofscience.com%2Fwos%2Fwoscc%2Ffull-record%2FWOS:000079713100105","View Full Record in Web of Science")</f>
        <v>View Full Record in Web of Science</v>
      </c>
    </row>
    <row r="307" spans="1:72" x14ac:dyDescent="0.15">
      <c r="A307" t="s">
        <v>1540</v>
      </c>
      <c r="B307" t="s">
        <v>3690</v>
      </c>
      <c r="C307" t="s">
        <v>74</v>
      </c>
      <c r="D307" t="s">
        <v>2810</v>
      </c>
      <c r="E307" t="s">
        <v>74</v>
      </c>
      <c r="F307" t="s">
        <v>3690</v>
      </c>
      <c r="G307" t="s">
        <v>74</v>
      </c>
      <c r="H307" t="s">
        <v>74</v>
      </c>
      <c r="I307" t="s">
        <v>3691</v>
      </c>
      <c r="J307" t="s">
        <v>2812</v>
      </c>
      <c r="K307" t="s">
        <v>2774</v>
      </c>
      <c r="L307" t="s">
        <v>74</v>
      </c>
      <c r="M307" t="s">
        <v>77</v>
      </c>
      <c r="N307" t="s">
        <v>379</v>
      </c>
      <c r="O307" t="s">
        <v>2814</v>
      </c>
      <c r="P307" t="s">
        <v>2815</v>
      </c>
      <c r="Q307" t="s">
        <v>2816</v>
      </c>
      <c r="R307" t="s">
        <v>74</v>
      </c>
      <c r="S307" t="s">
        <v>74</v>
      </c>
      <c r="T307" t="s">
        <v>74</v>
      </c>
      <c r="U307" t="s">
        <v>3692</v>
      </c>
      <c r="V307" t="s">
        <v>3693</v>
      </c>
      <c r="W307" t="s">
        <v>3694</v>
      </c>
      <c r="X307" t="s">
        <v>3695</v>
      </c>
      <c r="Y307" t="s">
        <v>3696</v>
      </c>
      <c r="Z307" t="s">
        <v>74</v>
      </c>
      <c r="AA307" t="s">
        <v>3697</v>
      </c>
      <c r="AB307" t="s">
        <v>3698</v>
      </c>
      <c r="AC307" t="s">
        <v>74</v>
      </c>
      <c r="AD307" t="s">
        <v>74</v>
      </c>
      <c r="AE307" t="s">
        <v>74</v>
      </c>
      <c r="AF307" t="s">
        <v>74</v>
      </c>
      <c r="AG307">
        <v>36</v>
      </c>
      <c r="AH307">
        <v>36</v>
      </c>
      <c r="AI307">
        <v>36</v>
      </c>
      <c r="AJ307">
        <v>0</v>
      </c>
      <c r="AK307">
        <v>6</v>
      </c>
      <c r="AL307" t="s">
        <v>2783</v>
      </c>
      <c r="AM307" t="s">
        <v>115</v>
      </c>
      <c r="AN307" t="s">
        <v>2856</v>
      </c>
      <c r="AO307" t="s">
        <v>2785</v>
      </c>
      <c r="AP307" t="s">
        <v>74</v>
      </c>
      <c r="AQ307" t="s">
        <v>2824</v>
      </c>
      <c r="AR307" t="s">
        <v>2787</v>
      </c>
      <c r="AS307" t="s">
        <v>74</v>
      </c>
      <c r="AT307" t="s">
        <v>74</v>
      </c>
      <c r="AU307">
        <v>1998</v>
      </c>
      <c r="AV307">
        <v>27</v>
      </c>
      <c r="AW307" t="s">
        <v>74</v>
      </c>
      <c r="AX307" t="s">
        <v>74</v>
      </c>
      <c r="AY307" t="s">
        <v>74</v>
      </c>
      <c r="AZ307" t="s">
        <v>74</v>
      </c>
      <c r="BA307" t="s">
        <v>74</v>
      </c>
      <c r="BB307">
        <v>643</v>
      </c>
      <c r="BC307">
        <v>650</v>
      </c>
      <c r="BD307" t="s">
        <v>74</v>
      </c>
      <c r="BE307" t="s">
        <v>74</v>
      </c>
      <c r="BF307" t="s">
        <v>74</v>
      </c>
      <c r="BG307" t="s">
        <v>74</v>
      </c>
      <c r="BH307" t="s">
        <v>74</v>
      </c>
      <c r="BI307">
        <v>8</v>
      </c>
      <c r="BJ307" t="s">
        <v>2826</v>
      </c>
      <c r="BK307" t="s">
        <v>397</v>
      </c>
      <c r="BL307" t="s">
        <v>2827</v>
      </c>
      <c r="BM307" t="s">
        <v>2828</v>
      </c>
      <c r="BN307" t="s">
        <v>74</v>
      </c>
      <c r="BO307" t="s">
        <v>74</v>
      </c>
      <c r="BP307" t="s">
        <v>74</v>
      </c>
      <c r="BQ307" t="s">
        <v>74</v>
      </c>
      <c r="BR307" t="s">
        <v>101</v>
      </c>
      <c r="BS307" t="s">
        <v>3699</v>
      </c>
      <c r="BT307" t="str">
        <f>HYPERLINK("https%3A%2F%2Fwww.webofscience.com%2Fwos%2Fwoscc%2Ffull-record%2FWOS:000079713100106","View Full Record in Web of Science")</f>
        <v>View Full Record in Web of Science</v>
      </c>
    </row>
    <row r="308" spans="1:72" x14ac:dyDescent="0.15">
      <c r="A308" t="s">
        <v>1540</v>
      </c>
      <c r="B308" t="s">
        <v>3700</v>
      </c>
      <c r="C308" t="s">
        <v>74</v>
      </c>
      <c r="D308" t="s">
        <v>2810</v>
      </c>
      <c r="E308" t="s">
        <v>74</v>
      </c>
      <c r="F308" t="s">
        <v>3700</v>
      </c>
      <c r="G308" t="s">
        <v>74</v>
      </c>
      <c r="H308" t="s">
        <v>74</v>
      </c>
      <c r="I308" t="s">
        <v>3701</v>
      </c>
      <c r="J308" t="s">
        <v>2812</v>
      </c>
      <c r="K308" t="s">
        <v>2774</v>
      </c>
      <c r="L308" t="s">
        <v>74</v>
      </c>
      <c r="M308" t="s">
        <v>77</v>
      </c>
      <c r="N308" t="s">
        <v>379</v>
      </c>
      <c r="O308" t="s">
        <v>2814</v>
      </c>
      <c r="P308" t="s">
        <v>2815</v>
      </c>
      <c r="Q308" t="s">
        <v>2816</v>
      </c>
      <c r="R308" t="s">
        <v>74</v>
      </c>
      <c r="S308" t="s">
        <v>74</v>
      </c>
      <c r="T308" t="s">
        <v>74</v>
      </c>
      <c r="U308" t="s">
        <v>3702</v>
      </c>
      <c r="V308" t="s">
        <v>3703</v>
      </c>
      <c r="W308" t="s">
        <v>3704</v>
      </c>
      <c r="X308" t="s">
        <v>3705</v>
      </c>
      <c r="Y308" t="s">
        <v>3706</v>
      </c>
      <c r="Z308" t="s">
        <v>74</v>
      </c>
      <c r="AA308" t="s">
        <v>74</v>
      </c>
      <c r="AB308" t="s">
        <v>3707</v>
      </c>
      <c r="AC308" t="s">
        <v>74</v>
      </c>
      <c r="AD308" t="s">
        <v>74</v>
      </c>
      <c r="AE308" t="s">
        <v>74</v>
      </c>
      <c r="AF308" t="s">
        <v>74</v>
      </c>
      <c r="AG308">
        <v>14</v>
      </c>
      <c r="AH308">
        <v>10</v>
      </c>
      <c r="AI308">
        <v>10</v>
      </c>
      <c r="AJ308">
        <v>0</v>
      </c>
      <c r="AK308">
        <v>1</v>
      </c>
      <c r="AL308" t="s">
        <v>2783</v>
      </c>
      <c r="AM308" t="s">
        <v>115</v>
      </c>
      <c r="AN308" t="s">
        <v>2856</v>
      </c>
      <c r="AO308" t="s">
        <v>2785</v>
      </c>
      <c r="AP308" t="s">
        <v>74</v>
      </c>
      <c r="AQ308" t="s">
        <v>2824</v>
      </c>
      <c r="AR308" t="s">
        <v>2787</v>
      </c>
      <c r="AS308" t="s">
        <v>74</v>
      </c>
      <c r="AT308" t="s">
        <v>74</v>
      </c>
      <c r="AU308">
        <v>1998</v>
      </c>
      <c r="AV308">
        <v>27</v>
      </c>
      <c r="AW308" t="s">
        <v>74</v>
      </c>
      <c r="AX308" t="s">
        <v>74</v>
      </c>
      <c r="AY308" t="s">
        <v>74</v>
      </c>
      <c r="AZ308" t="s">
        <v>74</v>
      </c>
      <c r="BA308" t="s">
        <v>74</v>
      </c>
      <c r="BB308">
        <v>651</v>
      </c>
      <c r="BC308">
        <v>654</v>
      </c>
      <c r="BD308" t="s">
        <v>74</v>
      </c>
      <c r="BE308" t="s">
        <v>74</v>
      </c>
      <c r="BF308" t="s">
        <v>74</v>
      </c>
      <c r="BG308" t="s">
        <v>74</v>
      </c>
      <c r="BH308" t="s">
        <v>74</v>
      </c>
      <c r="BI308">
        <v>4</v>
      </c>
      <c r="BJ308" t="s">
        <v>2826</v>
      </c>
      <c r="BK308" t="s">
        <v>397</v>
      </c>
      <c r="BL308" t="s">
        <v>2827</v>
      </c>
      <c r="BM308" t="s">
        <v>2828</v>
      </c>
      <c r="BN308" t="s">
        <v>74</v>
      </c>
      <c r="BO308" t="s">
        <v>74</v>
      </c>
      <c r="BP308" t="s">
        <v>74</v>
      </c>
      <c r="BQ308" t="s">
        <v>74</v>
      </c>
      <c r="BR308" t="s">
        <v>101</v>
      </c>
      <c r="BS308" t="s">
        <v>3708</v>
      </c>
      <c r="BT308" t="str">
        <f>HYPERLINK("https%3A%2F%2Fwww.webofscience.com%2Fwos%2Fwoscc%2Ffull-record%2FWOS:000079713100107","View Full Record in Web of Science")</f>
        <v>View Full Record in Web of Science</v>
      </c>
    </row>
    <row r="309" spans="1:72" x14ac:dyDescent="0.15">
      <c r="A309" t="s">
        <v>1540</v>
      </c>
      <c r="B309" t="s">
        <v>3709</v>
      </c>
      <c r="C309" t="s">
        <v>74</v>
      </c>
      <c r="D309" t="s">
        <v>2810</v>
      </c>
      <c r="E309" t="s">
        <v>74</v>
      </c>
      <c r="F309" t="s">
        <v>3709</v>
      </c>
      <c r="G309" t="s">
        <v>74</v>
      </c>
      <c r="H309" t="s">
        <v>74</v>
      </c>
      <c r="I309" t="s">
        <v>3710</v>
      </c>
      <c r="J309" t="s">
        <v>2812</v>
      </c>
      <c r="K309" t="s">
        <v>2774</v>
      </c>
      <c r="L309" t="s">
        <v>74</v>
      </c>
      <c r="M309" t="s">
        <v>77</v>
      </c>
      <c r="N309" t="s">
        <v>379</v>
      </c>
      <c r="O309" t="s">
        <v>2814</v>
      </c>
      <c r="P309" t="s">
        <v>2815</v>
      </c>
      <c r="Q309" t="s">
        <v>2816</v>
      </c>
      <c r="R309" t="s">
        <v>74</v>
      </c>
      <c r="S309" t="s">
        <v>74</v>
      </c>
      <c r="T309" t="s">
        <v>74</v>
      </c>
      <c r="U309" t="s">
        <v>74</v>
      </c>
      <c r="V309" t="s">
        <v>3711</v>
      </c>
      <c r="W309" t="s">
        <v>3712</v>
      </c>
      <c r="X309" t="s">
        <v>3713</v>
      </c>
      <c r="Y309" t="s">
        <v>3714</v>
      </c>
      <c r="Z309" t="s">
        <v>74</v>
      </c>
      <c r="AA309" t="s">
        <v>74</v>
      </c>
      <c r="AB309" t="s">
        <v>3715</v>
      </c>
      <c r="AC309" t="s">
        <v>74</v>
      </c>
      <c r="AD309" t="s">
        <v>74</v>
      </c>
      <c r="AE309" t="s">
        <v>74</v>
      </c>
      <c r="AF309" t="s">
        <v>74</v>
      </c>
      <c r="AG309">
        <v>8</v>
      </c>
      <c r="AH309">
        <v>2</v>
      </c>
      <c r="AI309">
        <v>2</v>
      </c>
      <c r="AJ309">
        <v>0</v>
      </c>
      <c r="AK309">
        <v>0</v>
      </c>
      <c r="AL309" t="s">
        <v>2783</v>
      </c>
      <c r="AM309" t="s">
        <v>115</v>
      </c>
      <c r="AN309" t="s">
        <v>2856</v>
      </c>
      <c r="AO309" t="s">
        <v>2785</v>
      </c>
      <c r="AP309" t="s">
        <v>74</v>
      </c>
      <c r="AQ309" t="s">
        <v>2824</v>
      </c>
      <c r="AR309" t="s">
        <v>2787</v>
      </c>
      <c r="AS309" t="s">
        <v>74</v>
      </c>
      <c r="AT309" t="s">
        <v>74</v>
      </c>
      <c r="AU309">
        <v>1998</v>
      </c>
      <c r="AV309">
        <v>27</v>
      </c>
      <c r="AW309" t="s">
        <v>74</v>
      </c>
      <c r="AX309" t="s">
        <v>74</v>
      </c>
      <c r="AY309" t="s">
        <v>74</v>
      </c>
      <c r="AZ309" t="s">
        <v>74</v>
      </c>
      <c r="BA309" t="s">
        <v>74</v>
      </c>
      <c r="BB309">
        <v>655</v>
      </c>
      <c r="BC309">
        <v>660</v>
      </c>
      <c r="BD309" t="s">
        <v>74</v>
      </c>
      <c r="BE309" t="s">
        <v>74</v>
      </c>
      <c r="BF309" t="s">
        <v>74</v>
      </c>
      <c r="BG309" t="s">
        <v>74</v>
      </c>
      <c r="BH309" t="s">
        <v>74</v>
      </c>
      <c r="BI309">
        <v>6</v>
      </c>
      <c r="BJ309" t="s">
        <v>2826</v>
      </c>
      <c r="BK309" t="s">
        <v>397</v>
      </c>
      <c r="BL309" t="s">
        <v>2827</v>
      </c>
      <c r="BM309" t="s">
        <v>2828</v>
      </c>
      <c r="BN309" t="s">
        <v>74</v>
      </c>
      <c r="BO309" t="s">
        <v>74</v>
      </c>
      <c r="BP309" t="s">
        <v>74</v>
      </c>
      <c r="BQ309" t="s">
        <v>74</v>
      </c>
      <c r="BR309" t="s">
        <v>101</v>
      </c>
      <c r="BS309" t="s">
        <v>3716</v>
      </c>
      <c r="BT309" t="str">
        <f>HYPERLINK("https%3A%2F%2Fwww.webofscience.com%2Fwos%2Fwoscc%2Ffull-record%2FWOS:000079713100108","View Full Record in Web of Science")</f>
        <v>View Full Record in Web of Science</v>
      </c>
    </row>
    <row r="310" spans="1:72" x14ac:dyDescent="0.15">
      <c r="A310" t="s">
        <v>1540</v>
      </c>
      <c r="B310" t="s">
        <v>3717</v>
      </c>
      <c r="C310" t="s">
        <v>74</v>
      </c>
      <c r="D310" t="s">
        <v>2810</v>
      </c>
      <c r="E310" t="s">
        <v>74</v>
      </c>
      <c r="F310" t="s">
        <v>3717</v>
      </c>
      <c r="G310" t="s">
        <v>74</v>
      </c>
      <c r="H310" t="s">
        <v>74</v>
      </c>
      <c r="I310" t="s">
        <v>3718</v>
      </c>
      <c r="J310" t="s">
        <v>2812</v>
      </c>
      <c r="K310" t="s">
        <v>2774</v>
      </c>
      <c r="L310" t="s">
        <v>74</v>
      </c>
      <c r="M310" t="s">
        <v>77</v>
      </c>
      <c r="N310" t="s">
        <v>379</v>
      </c>
      <c r="O310" t="s">
        <v>2814</v>
      </c>
      <c r="P310" t="s">
        <v>2815</v>
      </c>
      <c r="Q310" t="s">
        <v>2816</v>
      </c>
      <c r="R310" t="s">
        <v>74</v>
      </c>
      <c r="S310" t="s">
        <v>74</v>
      </c>
      <c r="T310" t="s">
        <v>74</v>
      </c>
      <c r="U310" t="s">
        <v>3719</v>
      </c>
      <c r="V310" t="s">
        <v>3720</v>
      </c>
      <c r="W310" t="s">
        <v>3721</v>
      </c>
      <c r="X310" t="s">
        <v>3722</v>
      </c>
      <c r="Y310" t="s">
        <v>3723</v>
      </c>
      <c r="Z310" t="s">
        <v>74</v>
      </c>
      <c r="AA310" t="s">
        <v>3724</v>
      </c>
      <c r="AB310" t="s">
        <v>3725</v>
      </c>
      <c r="AC310" t="s">
        <v>74</v>
      </c>
      <c r="AD310" t="s">
        <v>74</v>
      </c>
      <c r="AE310" t="s">
        <v>74</v>
      </c>
      <c r="AF310" t="s">
        <v>74</v>
      </c>
      <c r="AG310">
        <v>52</v>
      </c>
      <c r="AH310">
        <v>8</v>
      </c>
      <c r="AI310">
        <v>10</v>
      </c>
      <c r="AJ310">
        <v>0</v>
      </c>
      <c r="AK310">
        <v>3</v>
      </c>
      <c r="AL310" t="s">
        <v>2783</v>
      </c>
      <c r="AM310" t="s">
        <v>115</v>
      </c>
      <c r="AN310" t="s">
        <v>2856</v>
      </c>
      <c r="AO310" t="s">
        <v>2785</v>
      </c>
      <c r="AP310" t="s">
        <v>74</v>
      </c>
      <c r="AQ310" t="s">
        <v>2824</v>
      </c>
      <c r="AR310" t="s">
        <v>2787</v>
      </c>
      <c r="AS310" t="s">
        <v>74</v>
      </c>
      <c r="AT310" t="s">
        <v>74</v>
      </c>
      <c r="AU310">
        <v>1998</v>
      </c>
      <c r="AV310">
        <v>27</v>
      </c>
      <c r="AW310" t="s">
        <v>74</v>
      </c>
      <c r="AX310" t="s">
        <v>74</v>
      </c>
      <c r="AY310" t="s">
        <v>74</v>
      </c>
      <c r="AZ310" t="s">
        <v>74</v>
      </c>
      <c r="BA310" t="s">
        <v>74</v>
      </c>
      <c r="BB310">
        <v>661</v>
      </c>
      <c r="BC310">
        <v>668</v>
      </c>
      <c r="BD310" t="s">
        <v>74</v>
      </c>
      <c r="BE310" t="s">
        <v>74</v>
      </c>
      <c r="BF310" t="s">
        <v>74</v>
      </c>
      <c r="BG310" t="s">
        <v>74</v>
      </c>
      <c r="BH310" t="s">
        <v>74</v>
      </c>
      <c r="BI310">
        <v>8</v>
      </c>
      <c r="BJ310" t="s">
        <v>2826</v>
      </c>
      <c r="BK310" t="s">
        <v>397</v>
      </c>
      <c r="BL310" t="s">
        <v>2827</v>
      </c>
      <c r="BM310" t="s">
        <v>2828</v>
      </c>
      <c r="BN310" t="s">
        <v>74</v>
      </c>
      <c r="BO310" t="s">
        <v>74</v>
      </c>
      <c r="BP310" t="s">
        <v>74</v>
      </c>
      <c r="BQ310" t="s">
        <v>74</v>
      </c>
      <c r="BR310" t="s">
        <v>101</v>
      </c>
      <c r="BS310" t="s">
        <v>3726</v>
      </c>
      <c r="BT310" t="str">
        <f>HYPERLINK("https%3A%2F%2Fwww.webofscience.com%2Fwos%2Fwoscc%2Ffull-record%2FWOS:000079713100109","View Full Record in Web of Science")</f>
        <v>View Full Record in Web of Science</v>
      </c>
    </row>
    <row r="311" spans="1:72" x14ac:dyDescent="0.15">
      <c r="A311" t="s">
        <v>1540</v>
      </c>
      <c r="B311" t="s">
        <v>3727</v>
      </c>
      <c r="C311" t="s">
        <v>74</v>
      </c>
      <c r="D311" t="s">
        <v>2810</v>
      </c>
      <c r="E311" t="s">
        <v>74</v>
      </c>
      <c r="F311" t="s">
        <v>3727</v>
      </c>
      <c r="G311" t="s">
        <v>74</v>
      </c>
      <c r="H311" t="s">
        <v>74</v>
      </c>
      <c r="I311" t="s">
        <v>3728</v>
      </c>
      <c r="J311" t="s">
        <v>2812</v>
      </c>
      <c r="K311" t="s">
        <v>2774</v>
      </c>
      <c r="L311" t="s">
        <v>74</v>
      </c>
      <c r="M311" t="s">
        <v>77</v>
      </c>
      <c r="N311" t="s">
        <v>379</v>
      </c>
      <c r="O311" t="s">
        <v>2814</v>
      </c>
      <c r="P311" t="s">
        <v>2815</v>
      </c>
      <c r="Q311" t="s">
        <v>2816</v>
      </c>
      <c r="R311" t="s">
        <v>74</v>
      </c>
      <c r="S311" t="s">
        <v>74</v>
      </c>
      <c r="T311" t="s">
        <v>74</v>
      </c>
      <c r="U311" t="s">
        <v>3729</v>
      </c>
      <c r="V311" t="s">
        <v>3730</v>
      </c>
      <c r="W311" t="s">
        <v>3731</v>
      </c>
      <c r="X311" t="s">
        <v>3732</v>
      </c>
      <c r="Y311" t="s">
        <v>3706</v>
      </c>
      <c r="Z311" t="s">
        <v>74</v>
      </c>
      <c r="AA311" t="s">
        <v>74</v>
      </c>
      <c r="AB311" t="s">
        <v>2759</v>
      </c>
      <c r="AC311" t="s">
        <v>74</v>
      </c>
      <c r="AD311" t="s">
        <v>74</v>
      </c>
      <c r="AE311" t="s">
        <v>74</v>
      </c>
      <c r="AF311" t="s">
        <v>74</v>
      </c>
      <c r="AG311">
        <v>10</v>
      </c>
      <c r="AH311">
        <v>1</v>
      </c>
      <c r="AI311">
        <v>1</v>
      </c>
      <c r="AJ311">
        <v>0</v>
      </c>
      <c r="AK311">
        <v>0</v>
      </c>
      <c r="AL311" t="s">
        <v>2783</v>
      </c>
      <c r="AM311" t="s">
        <v>115</v>
      </c>
      <c r="AN311" t="s">
        <v>2856</v>
      </c>
      <c r="AO311" t="s">
        <v>2785</v>
      </c>
      <c r="AP311" t="s">
        <v>74</v>
      </c>
      <c r="AQ311" t="s">
        <v>2824</v>
      </c>
      <c r="AR311" t="s">
        <v>2787</v>
      </c>
      <c r="AS311" t="s">
        <v>74</v>
      </c>
      <c r="AT311" t="s">
        <v>74</v>
      </c>
      <c r="AU311">
        <v>1998</v>
      </c>
      <c r="AV311">
        <v>27</v>
      </c>
      <c r="AW311" t="s">
        <v>74</v>
      </c>
      <c r="AX311" t="s">
        <v>74</v>
      </c>
      <c r="AY311" t="s">
        <v>74</v>
      </c>
      <c r="AZ311" t="s">
        <v>74</v>
      </c>
      <c r="BA311" t="s">
        <v>74</v>
      </c>
      <c r="BB311">
        <v>669</v>
      </c>
      <c r="BC311">
        <v>673</v>
      </c>
      <c r="BD311" t="s">
        <v>74</v>
      </c>
      <c r="BE311" t="s">
        <v>74</v>
      </c>
      <c r="BF311" t="s">
        <v>74</v>
      </c>
      <c r="BG311" t="s">
        <v>74</v>
      </c>
      <c r="BH311" t="s">
        <v>74</v>
      </c>
      <c r="BI311">
        <v>5</v>
      </c>
      <c r="BJ311" t="s">
        <v>2826</v>
      </c>
      <c r="BK311" t="s">
        <v>397</v>
      </c>
      <c r="BL311" t="s">
        <v>2827</v>
      </c>
      <c r="BM311" t="s">
        <v>2828</v>
      </c>
      <c r="BN311" t="s">
        <v>74</v>
      </c>
      <c r="BO311" t="s">
        <v>74</v>
      </c>
      <c r="BP311" t="s">
        <v>74</v>
      </c>
      <c r="BQ311" t="s">
        <v>74</v>
      </c>
      <c r="BR311" t="s">
        <v>101</v>
      </c>
      <c r="BS311" t="s">
        <v>3733</v>
      </c>
      <c r="BT311" t="str">
        <f>HYPERLINK("https%3A%2F%2Fwww.webofscience.com%2Fwos%2Fwoscc%2Ffull-record%2FWOS:000079713100110","View Full Record in Web of Science")</f>
        <v>View Full Record in Web of Science</v>
      </c>
    </row>
    <row r="312" spans="1:72" x14ac:dyDescent="0.15">
      <c r="A312" t="s">
        <v>1540</v>
      </c>
      <c r="B312" t="s">
        <v>3734</v>
      </c>
      <c r="C312" t="s">
        <v>74</v>
      </c>
      <c r="D312" t="s">
        <v>2810</v>
      </c>
      <c r="E312" t="s">
        <v>74</v>
      </c>
      <c r="F312" t="s">
        <v>3734</v>
      </c>
      <c r="G312" t="s">
        <v>74</v>
      </c>
      <c r="H312" t="s">
        <v>74</v>
      </c>
      <c r="I312" t="s">
        <v>3735</v>
      </c>
      <c r="J312" t="s">
        <v>2812</v>
      </c>
      <c r="K312" t="s">
        <v>2774</v>
      </c>
      <c r="L312" t="s">
        <v>74</v>
      </c>
      <c r="M312" t="s">
        <v>77</v>
      </c>
      <c r="N312" t="s">
        <v>379</v>
      </c>
      <c r="O312" t="s">
        <v>2814</v>
      </c>
      <c r="P312" t="s">
        <v>2815</v>
      </c>
      <c r="Q312" t="s">
        <v>2816</v>
      </c>
      <c r="R312" t="s">
        <v>74</v>
      </c>
      <c r="S312" t="s">
        <v>74</v>
      </c>
      <c r="T312" t="s">
        <v>74</v>
      </c>
      <c r="U312" t="s">
        <v>3736</v>
      </c>
      <c r="V312" t="s">
        <v>3737</v>
      </c>
      <c r="W312" t="s">
        <v>3738</v>
      </c>
      <c r="X312" t="s">
        <v>3739</v>
      </c>
      <c r="Y312" t="s">
        <v>3740</v>
      </c>
      <c r="Z312" t="s">
        <v>74</v>
      </c>
      <c r="AA312" t="s">
        <v>3741</v>
      </c>
      <c r="AB312" t="s">
        <v>3742</v>
      </c>
      <c r="AC312" t="s">
        <v>74</v>
      </c>
      <c r="AD312" t="s">
        <v>74</v>
      </c>
      <c r="AE312" t="s">
        <v>74</v>
      </c>
      <c r="AF312" t="s">
        <v>74</v>
      </c>
      <c r="AG312">
        <v>21</v>
      </c>
      <c r="AH312">
        <v>25</v>
      </c>
      <c r="AI312">
        <v>25</v>
      </c>
      <c r="AJ312">
        <v>0</v>
      </c>
      <c r="AK312">
        <v>9</v>
      </c>
      <c r="AL312" t="s">
        <v>2783</v>
      </c>
      <c r="AM312" t="s">
        <v>115</v>
      </c>
      <c r="AN312" t="s">
        <v>2856</v>
      </c>
      <c r="AO312" t="s">
        <v>2785</v>
      </c>
      <c r="AP312" t="s">
        <v>74</v>
      </c>
      <c r="AQ312" t="s">
        <v>2824</v>
      </c>
      <c r="AR312" t="s">
        <v>2787</v>
      </c>
      <c r="AS312" t="s">
        <v>74</v>
      </c>
      <c r="AT312" t="s">
        <v>74</v>
      </c>
      <c r="AU312">
        <v>1998</v>
      </c>
      <c r="AV312">
        <v>27</v>
      </c>
      <c r="AW312" t="s">
        <v>74</v>
      </c>
      <c r="AX312" t="s">
        <v>74</v>
      </c>
      <c r="AY312" t="s">
        <v>74</v>
      </c>
      <c r="AZ312" t="s">
        <v>74</v>
      </c>
      <c r="BA312" t="s">
        <v>74</v>
      </c>
      <c r="BB312">
        <v>674</v>
      </c>
      <c r="BC312">
        <v>678</v>
      </c>
      <c r="BD312" t="s">
        <v>74</v>
      </c>
      <c r="BE312" t="s">
        <v>74</v>
      </c>
      <c r="BF312" t="s">
        <v>74</v>
      </c>
      <c r="BG312" t="s">
        <v>74</v>
      </c>
      <c r="BH312" t="s">
        <v>74</v>
      </c>
      <c r="BI312">
        <v>5</v>
      </c>
      <c r="BJ312" t="s">
        <v>2826</v>
      </c>
      <c r="BK312" t="s">
        <v>397</v>
      </c>
      <c r="BL312" t="s">
        <v>2827</v>
      </c>
      <c r="BM312" t="s">
        <v>2828</v>
      </c>
      <c r="BN312" t="s">
        <v>74</v>
      </c>
      <c r="BO312" t="s">
        <v>74</v>
      </c>
      <c r="BP312" t="s">
        <v>74</v>
      </c>
      <c r="BQ312" t="s">
        <v>74</v>
      </c>
      <c r="BR312" t="s">
        <v>101</v>
      </c>
      <c r="BS312" t="s">
        <v>3743</v>
      </c>
      <c r="BT312" t="str">
        <f>HYPERLINK("https%3A%2F%2Fwww.webofscience.com%2Fwos%2Fwoscc%2Ffull-record%2FWOS:000079713100111","View Full Record in Web of Science")</f>
        <v>View Full Record in Web of Science</v>
      </c>
    </row>
    <row r="313" spans="1:72" x14ac:dyDescent="0.15">
      <c r="A313" t="s">
        <v>1540</v>
      </c>
      <c r="B313" t="s">
        <v>3744</v>
      </c>
      <c r="C313" t="s">
        <v>74</v>
      </c>
      <c r="D313" t="s">
        <v>2810</v>
      </c>
      <c r="E313" t="s">
        <v>74</v>
      </c>
      <c r="F313" t="s">
        <v>3744</v>
      </c>
      <c r="G313" t="s">
        <v>74</v>
      </c>
      <c r="H313" t="s">
        <v>74</v>
      </c>
      <c r="I313" t="s">
        <v>3745</v>
      </c>
      <c r="J313" t="s">
        <v>2812</v>
      </c>
      <c r="K313" t="s">
        <v>2813</v>
      </c>
      <c r="L313" t="s">
        <v>74</v>
      </c>
      <c r="M313" t="s">
        <v>77</v>
      </c>
      <c r="N313" t="s">
        <v>379</v>
      </c>
      <c r="O313" t="s">
        <v>2814</v>
      </c>
      <c r="P313" t="s">
        <v>2815</v>
      </c>
      <c r="Q313" t="s">
        <v>2816</v>
      </c>
      <c r="R313" t="s">
        <v>74</v>
      </c>
      <c r="S313" t="s">
        <v>74</v>
      </c>
      <c r="T313" t="s">
        <v>74</v>
      </c>
      <c r="U313" t="s">
        <v>3746</v>
      </c>
      <c r="V313" t="s">
        <v>3747</v>
      </c>
      <c r="W313" t="s">
        <v>3748</v>
      </c>
      <c r="X313" t="s">
        <v>3749</v>
      </c>
      <c r="Y313" t="s">
        <v>3750</v>
      </c>
      <c r="Z313" t="s">
        <v>74</v>
      </c>
      <c r="AA313" t="s">
        <v>74</v>
      </c>
      <c r="AB313" t="s">
        <v>3751</v>
      </c>
      <c r="AC313" t="s">
        <v>74</v>
      </c>
      <c r="AD313" t="s">
        <v>74</v>
      </c>
      <c r="AE313" t="s">
        <v>74</v>
      </c>
      <c r="AF313" t="s">
        <v>74</v>
      </c>
      <c r="AG313">
        <v>37</v>
      </c>
      <c r="AH313">
        <v>19</v>
      </c>
      <c r="AI313">
        <v>20</v>
      </c>
      <c r="AJ313">
        <v>0</v>
      </c>
      <c r="AK313">
        <v>1</v>
      </c>
      <c r="AL313" t="s">
        <v>2783</v>
      </c>
      <c r="AM313" t="s">
        <v>115</v>
      </c>
      <c r="AN313" t="s">
        <v>2784</v>
      </c>
      <c r="AO313" t="s">
        <v>2785</v>
      </c>
      <c r="AP313" t="s">
        <v>74</v>
      </c>
      <c r="AQ313" t="s">
        <v>2824</v>
      </c>
      <c r="AR313" t="s">
        <v>2825</v>
      </c>
      <c r="AS313" t="s">
        <v>74</v>
      </c>
      <c r="AT313" t="s">
        <v>74</v>
      </c>
      <c r="AU313">
        <v>1998</v>
      </c>
      <c r="AV313">
        <v>27</v>
      </c>
      <c r="AW313" t="s">
        <v>74</v>
      </c>
      <c r="AX313" t="s">
        <v>74</v>
      </c>
      <c r="AY313" t="s">
        <v>74</v>
      </c>
      <c r="AZ313" t="s">
        <v>74</v>
      </c>
      <c r="BA313" t="s">
        <v>74</v>
      </c>
      <c r="BB313">
        <v>679</v>
      </c>
      <c r="BC313">
        <v>684</v>
      </c>
      <c r="BD313" t="s">
        <v>74</v>
      </c>
      <c r="BE313" t="s">
        <v>74</v>
      </c>
      <c r="BF313" t="s">
        <v>74</v>
      </c>
      <c r="BG313" t="s">
        <v>74</v>
      </c>
      <c r="BH313" t="s">
        <v>74</v>
      </c>
      <c r="BI313">
        <v>6</v>
      </c>
      <c r="BJ313" t="s">
        <v>2826</v>
      </c>
      <c r="BK313" t="s">
        <v>397</v>
      </c>
      <c r="BL313" t="s">
        <v>2827</v>
      </c>
      <c r="BM313" t="s">
        <v>2828</v>
      </c>
      <c r="BN313" t="s">
        <v>74</v>
      </c>
      <c r="BO313" t="s">
        <v>74</v>
      </c>
      <c r="BP313" t="s">
        <v>74</v>
      </c>
      <c r="BQ313" t="s">
        <v>74</v>
      </c>
      <c r="BR313" t="s">
        <v>101</v>
      </c>
      <c r="BS313" t="s">
        <v>3752</v>
      </c>
      <c r="BT313" t="str">
        <f>HYPERLINK("https%3A%2F%2Fwww.webofscience.com%2Fwos%2Fwoscc%2Ffull-record%2FWOS:000079713100112","View Full Record in Web of Science")</f>
        <v>View Full Record in Web of Science</v>
      </c>
    </row>
    <row r="314" spans="1:72" x14ac:dyDescent="0.15">
      <c r="A314" t="s">
        <v>1540</v>
      </c>
      <c r="B314" t="s">
        <v>3753</v>
      </c>
      <c r="C314" t="s">
        <v>74</v>
      </c>
      <c r="D314" t="s">
        <v>2810</v>
      </c>
      <c r="E314" t="s">
        <v>74</v>
      </c>
      <c r="F314" t="s">
        <v>3753</v>
      </c>
      <c r="G314" t="s">
        <v>74</v>
      </c>
      <c r="H314" t="s">
        <v>74</v>
      </c>
      <c r="I314" t="s">
        <v>3754</v>
      </c>
      <c r="J314" t="s">
        <v>2812</v>
      </c>
      <c r="K314" t="s">
        <v>2774</v>
      </c>
      <c r="L314" t="s">
        <v>74</v>
      </c>
      <c r="M314" t="s">
        <v>77</v>
      </c>
      <c r="N314" t="s">
        <v>379</v>
      </c>
      <c r="O314" t="s">
        <v>2814</v>
      </c>
      <c r="P314" t="s">
        <v>2815</v>
      </c>
      <c r="Q314" t="s">
        <v>2816</v>
      </c>
      <c r="R314" t="s">
        <v>74</v>
      </c>
      <c r="S314" t="s">
        <v>74</v>
      </c>
      <c r="T314" t="s">
        <v>74</v>
      </c>
      <c r="U314" t="s">
        <v>3755</v>
      </c>
      <c r="V314" t="s">
        <v>3756</v>
      </c>
      <c r="W314" t="s">
        <v>3757</v>
      </c>
      <c r="X314" t="s">
        <v>3758</v>
      </c>
      <c r="Y314" t="s">
        <v>3759</v>
      </c>
      <c r="Z314" t="s">
        <v>74</v>
      </c>
      <c r="AA314" t="s">
        <v>74</v>
      </c>
      <c r="AB314" t="s">
        <v>74</v>
      </c>
      <c r="AC314" t="s">
        <v>74</v>
      </c>
      <c r="AD314" t="s">
        <v>74</v>
      </c>
      <c r="AE314" t="s">
        <v>74</v>
      </c>
      <c r="AF314" t="s">
        <v>74</v>
      </c>
      <c r="AG314">
        <v>34</v>
      </c>
      <c r="AH314">
        <v>9</v>
      </c>
      <c r="AI314">
        <v>12</v>
      </c>
      <c r="AJ314">
        <v>0</v>
      </c>
      <c r="AK314">
        <v>1</v>
      </c>
      <c r="AL314" t="s">
        <v>2783</v>
      </c>
      <c r="AM314" t="s">
        <v>115</v>
      </c>
      <c r="AN314" t="s">
        <v>2856</v>
      </c>
      <c r="AO314" t="s">
        <v>2785</v>
      </c>
      <c r="AP314" t="s">
        <v>74</v>
      </c>
      <c r="AQ314" t="s">
        <v>2824</v>
      </c>
      <c r="AR314" t="s">
        <v>2787</v>
      </c>
      <c r="AS314" t="s">
        <v>74</v>
      </c>
      <c r="AT314" t="s">
        <v>74</v>
      </c>
      <c r="AU314">
        <v>1998</v>
      </c>
      <c r="AV314">
        <v>27</v>
      </c>
      <c r="AW314" t="s">
        <v>74</v>
      </c>
      <c r="AX314" t="s">
        <v>74</v>
      </c>
      <c r="AY314" t="s">
        <v>74</v>
      </c>
      <c r="AZ314" t="s">
        <v>74</v>
      </c>
      <c r="BA314" t="s">
        <v>74</v>
      </c>
      <c r="BB314">
        <v>685</v>
      </c>
      <c r="BC314">
        <v>690</v>
      </c>
      <c r="BD314" t="s">
        <v>74</v>
      </c>
      <c r="BE314" t="s">
        <v>74</v>
      </c>
      <c r="BF314" t="s">
        <v>74</v>
      </c>
      <c r="BG314" t="s">
        <v>74</v>
      </c>
      <c r="BH314" t="s">
        <v>74</v>
      </c>
      <c r="BI314">
        <v>6</v>
      </c>
      <c r="BJ314" t="s">
        <v>2826</v>
      </c>
      <c r="BK314" t="s">
        <v>397</v>
      </c>
      <c r="BL314" t="s">
        <v>2827</v>
      </c>
      <c r="BM314" t="s">
        <v>2828</v>
      </c>
      <c r="BN314" t="s">
        <v>74</v>
      </c>
      <c r="BO314" t="s">
        <v>74</v>
      </c>
      <c r="BP314" t="s">
        <v>74</v>
      </c>
      <c r="BQ314" t="s">
        <v>74</v>
      </c>
      <c r="BR314" t="s">
        <v>101</v>
      </c>
      <c r="BS314" t="s">
        <v>3760</v>
      </c>
      <c r="BT314" t="str">
        <f>HYPERLINK("https%3A%2F%2Fwww.webofscience.com%2Fwos%2Fwoscc%2Ffull-record%2FWOS:000079713100113","View Full Record in Web of Science")</f>
        <v>View Full Record in Web of Science</v>
      </c>
    </row>
    <row r="315" spans="1:72" x14ac:dyDescent="0.15">
      <c r="A315" t="s">
        <v>1540</v>
      </c>
      <c r="B315" t="s">
        <v>3761</v>
      </c>
      <c r="C315" t="s">
        <v>74</v>
      </c>
      <c r="D315" t="s">
        <v>2810</v>
      </c>
      <c r="E315" t="s">
        <v>74</v>
      </c>
      <c r="F315" t="s">
        <v>3761</v>
      </c>
      <c r="G315" t="s">
        <v>74</v>
      </c>
      <c r="H315" t="s">
        <v>74</v>
      </c>
      <c r="I315" t="s">
        <v>3762</v>
      </c>
      <c r="J315" t="s">
        <v>2812</v>
      </c>
      <c r="K315" t="s">
        <v>2774</v>
      </c>
      <c r="L315" t="s">
        <v>74</v>
      </c>
      <c r="M315" t="s">
        <v>77</v>
      </c>
      <c r="N315" t="s">
        <v>379</v>
      </c>
      <c r="O315" t="s">
        <v>2814</v>
      </c>
      <c r="P315" t="s">
        <v>2815</v>
      </c>
      <c r="Q315" t="s">
        <v>2816</v>
      </c>
      <c r="R315" t="s">
        <v>74</v>
      </c>
      <c r="S315" t="s">
        <v>74</v>
      </c>
      <c r="T315" t="s">
        <v>74</v>
      </c>
      <c r="U315" t="s">
        <v>3763</v>
      </c>
      <c r="V315" t="s">
        <v>3764</v>
      </c>
      <c r="W315" t="s">
        <v>3765</v>
      </c>
      <c r="X315" t="s">
        <v>1767</v>
      </c>
      <c r="Y315" t="s">
        <v>3766</v>
      </c>
      <c r="Z315" t="s">
        <v>74</v>
      </c>
      <c r="AA315" t="s">
        <v>3767</v>
      </c>
      <c r="AB315" t="s">
        <v>3768</v>
      </c>
      <c r="AC315" t="s">
        <v>74</v>
      </c>
      <c r="AD315" t="s">
        <v>74</v>
      </c>
      <c r="AE315" t="s">
        <v>74</v>
      </c>
      <c r="AF315" t="s">
        <v>74</v>
      </c>
      <c r="AG315">
        <v>30</v>
      </c>
      <c r="AH315">
        <v>40</v>
      </c>
      <c r="AI315">
        <v>45</v>
      </c>
      <c r="AJ315">
        <v>0</v>
      </c>
      <c r="AK315">
        <v>11</v>
      </c>
      <c r="AL315" t="s">
        <v>2783</v>
      </c>
      <c r="AM315" t="s">
        <v>115</v>
      </c>
      <c r="AN315" t="s">
        <v>2856</v>
      </c>
      <c r="AO315" t="s">
        <v>2785</v>
      </c>
      <c r="AP315" t="s">
        <v>74</v>
      </c>
      <c r="AQ315" t="s">
        <v>2824</v>
      </c>
      <c r="AR315" t="s">
        <v>2787</v>
      </c>
      <c r="AS315" t="s">
        <v>74</v>
      </c>
      <c r="AT315" t="s">
        <v>74</v>
      </c>
      <c r="AU315">
        <v>1998</v>
      </c>
      <c r="AV315">
        <v>27</v>
      </c>
      <c r="AW315" t="s">
        <v>74</v>
      </c>
      <c r="AX315" t="s">
        <v>74</v>
      </c>
      <c r="AY315" t="s">
        <v>74</v>
      </c>
      <c r="AZ315" t="s">
        <v>74</v>
      </c>
      <c r="BA315" t="s">
        <v>74</v>
      </c>
      <c r="BB315">
        <v>691</v>
      </c>
      <c r="BC315">
        <v>696</v>
      </c>
      <c r="BD315" t="s">
        <v>74</v>
      </c>
      <c r="BE315" t="s">
        <v>74</v>
      </c>
      <c r="BF315" t="s">
        <v>74</v>
      </c>
      <c r="BG315" t="s">
        <v>74</v>
      </c>
      <c r="BH315" t="s">
        <v>74</v>
      </c>
      <c r="BI315">
        <v>6</v>
      </c>
      <c r="BJ315" t="s">
        <v>2826</v>
      </c>
      <c r="BK315" t="s">
        <v>397</v>
      </c>
      <c r="BL315" t="s">
        <v>2827</v>
      </c>
      <c r="BM315" t="s">
        <v>2828</v>
      </c>
      <c r="BN315" t="s">
        <v>74</v>
      </c>
      <c r="BO315" t="s">
        <v>74</v>
      </c>
      <c r="BP315" t="s">
        <v>74</v>
      </c>
      <c r="BQ315" t="s">
        <v>74</v>
      </c>
      <c r="BR315" t="s">
        <v>101</v>
      </c>
      <c r="BS315" t="s">
        <v>3769</v>
      </c>
      <c r="BT315" t="str">
        <f>HYPERLINK("https%3A%2F%2Fwww.webofscience.com%2Fwos%2Fwoscc%2Ffull-record%2FWOS:000079713100114","View Full Record in Web of Science")</f>
        <v>View Full Record in Web of Science</v>
      </c>
    </row>
    <row r="316" spans="1:72" x14ac:dyDescent="0.15">
      <c r="A316" t="s">
        <v>1540</v>
      </c>
      <c r="B316" t="s">
        <v>3770</v>
      </c>
      <c r="C316" t="s">
        <v>74</v>
      </c>
      <c r="D316" t="s">
        <v>2810</v>
      </c>
      <c r="E316" t="s">
        <v>74</v>
      </c>
      <c r="F316" t="s">
        <v>3770</v>
      </c>
      <c r="G316" t="s">
        <v>74</v>
      </c>
      <c r="H316" t="s">
        <v>74</v>
      </c>
      <c r="I316" t="s">
        <v>3771</v>
      </c>
      <c r="J316" t="s">
        <v>2812</v>
      </c>
      <c r="K316" t="s">
        <v>2774</v>
      </c>
      <c r="L316" t="s">
        <v>74</v>
      </c>
      <c r="M316" t="s">
        <v>77</v>
      </c>
      <c r="N316" t="s">
        <v>379</v>
      </c>
      <c r="O316" t="s">
        <v>2814</v>
      </c>
      <c r="P316" t="s">
        <v>2815</v>
      </c>
      <c r="Q316" t="s">
        <v>2816</v>
      </c>
      <c r="R316" t="s">
        <v>74</v>
      </c>
      <c r="S316" t="s">
        <v>74</v>
      </c>
      <c r="T316" t="s">
        <v>74</v>
      </c>
      <c r="U316" t="s">
        <v>3772</v>
      </c>
      <c r="V316" t="s">
        <v>3773</v>
      </c>
      <c r="W316" t="s">
        <v>3774</v>
      </c>
      <c r="X316" t="s">
        <v>3775</v>
      </c>
      <c r="Y316" t="s">
        <v>3776</v>
      </c>
      <c r="Z316" t="s">
        <v>74</v>
      </c>
      <c r="AA316" t="s">
        <v>3777</v>
      </c>
      <c r="AB316" t="s">
        <v>3778</v>
      </c>
      <c r="AC316" t="s">
        <v>74</v>
      </c>
      <c r="AD316" t="s">
        <v>74</v>
      </c>
      <c r="AE316" t="s">
        <v>74</v>
      </c>
      <c r="AF316" t="s">
        <v>74</v>
      </c>
      <c r="AG316">
        <v>34</v>
      </c>
      <c r="AH316">
        <v>27</v>
      </c>
      <c r="AI316">
        <v>30</v>
      </c>
      <c r="AJ316">
        <v>0</v>
      </c>
      <c r="AK316">
        <v>3</v>
      </c>
      <c r="AL316" t="s">
        <v>2783</v>
      </c>
      <c r="AM316" t="s">
        <v>115</v>
      </c>
      <c r="AN316" t="s">
        <v>2856</v>
      </c>
      <c r="AO316" t="s">
        <v>2785</v>
      </c>
      <c r="AP316" t="s">
        <v>74</v>
      </c>
      <c r="AQ316" t="s">
        <v>2824</v>
      </c>
      <c r="AR316" t="s">
        <v>2787</v>
      </c>
      <c r="AS316" t="s">
        <v>74</v>
      </c>
      <c r="AT316" t="s">
        <v>74</v>
      </c>
      <c r="AU316">
        <v>1998</v>
      </c>
      <c r="AV316">
        <v>27</v>
      </c>
      <c r="AW316" t="s">
        <v>74</v>
      </c>
      <c r="AX316" t="s">
        <v>74</v>
      </c>
      <c r="AY316" t="s">
        <v>74</v>
      </c>
      <c r="AZ316" t="s">
        <v>74</v>
      </c>
      <c r="BA316" t="s">
        <v>74</v>
      </c>
      <c r="BB316">
        <v>697</v>
      </c>
      <c r="BC316">
        <v>703</v>
      </c>
      <c r="BD316" t="s">
        <v>74</v>
      </c>
      <c r="BE316" t="s">
        <v>74</v>
      </c>
      <c r="BF316" t="s">
        <v>74</v>
      </c>
      <c r="BG316" t="s">
        <v>74</v>
      </c>
      <c r="BH316" t="s">
        <v>74</v>
      </c>
      <c r="BI316">
        <v>7</v>
      </c>
      <c r="BJ316" t="s">
        <v>2826</v>
      </c>
      <c r="BK316" t="s">
        <v>397</v>
      </c>
      <c r="BL316" t="s">
        <v>2827</v>
      </c>
      <c r="BM316" t="s">
        <v>2828</v>
      </c>
      <c r="BN316" t="s">
        <v>74</v>
      </c>
      <c r="BO316" t="s">
        <v>74</v>
      </c>
      <c r="BP316" t="s">
        <v>74</v>
      </c>
      <c r="BQ316" t="s">
        <v>74</v>
      </c>
      <c r="BR316" t="s">
        <v>101</v>
      </c>
      <c r="BS316" t="s">
        <v>3779</v>
      </c>
      <c r="BT316" t="str">
        <f>HYPERLINK("https%3A%2F%2Fwww.webofscience.com%2Fwos%2Fwoscc%2Ffull-record%2FWOS:000079713100115","View Full Record in Web of Science")</f>
        <v>View Full Record in Web of Science</v>
      </c>
    </row>
    <row r="317" spans="1:72" x14ac:dyDescent="0.15">
      <c r="A317" t="s">
        <v>72</v>
      </c>
      <c r="B317" t="s">
        <v>3780</v>
      </c>
      <c r="C317" t="s">
        <v>74</v>
      </c>
      <c r="D317" t="s">
        <v>74</v>
      </c>
      <c r="E317" t="s">
        <v>74</v>
      </c>
      <c r="F317" t="s">
        <v>3780</v>
      </c>
      <c r="G317" t="s">
        <v>74</v>
      </c>
      <c r="H317" t="s">
        <v>74</v>
      </c>
      <c r="I317" t="s">
        <v>3781</v>
      </c>
      <c r="J317" t="s">
        <v>3782</v>
      </c>
      <c r="K317" t="s">
        <v>74</v>
      </c>
      <c r="L317" t="s">
        <v>74</v>
      </c>
      <c r="M317" t="s">
        <v>77</v>
      </c>
      <c r="N317" t="s">
        <v>494</v>
      </c>
      <c r="O317" t="s">
        <v>74</v>
      </c>
      <c r="P317" t="s">
        <v>74</v>
      </c>
      <c r="Q317" t="s">
        <v>74</v>
      </c>
      <c r="R317" t="s">
        <v>74</v>
      </c>
      <c r="S317" t="s">
        <v>74</v>
      </c>
      <c r="T317" t="s">
        <v>3783</v>
      </c>
      <c r="U317" t="s">
        <v>3784</v>
      </c>
      <c r="V317" t="s">
        <v>3785</v>
      </c>
      <c r="W317" t="s">
        <v>3786</v>
      </c>
      <c r="X317" t="s">
        <v>3787</v>
      </c>
      <c r="Y317" t="s">
        <v>3788</v>
      </c>
      <c r="Z317" t="s">
        <v>3789</v>
      </c>
      <c r="AA317" t="s">
        <v>74</v>
      </c>
      <c r="AB317" t="s">
        <v>74</v>
      </c>
      <c r="AC317" t="s">
        <v>74</v>
      </c>
      <c r="AD317" t="s">
        <v>74</v>
      </c>
      <c r="AE317" t="s">
        <v>74</v>
      </c>
      <c r="AF317" t="s">
        <v>74</v>
      </c>
      <c r="AG317">
        <v>106</v>
      </c>
      <c r="AH317">
        <v>121</v>
      </c>
      <c r="AI317">
        <v>134</v>
      </c>
      <c r="AJ317">
        <v>1</v>
      </c>
      <c r="AK317">
        <v>30</v>
      </c>
      <c r="AL317" t="s">
        <v>3790</v>
      </c>
      <c r="AM317" t="s">
        <v>3791</v>
      </c>
      <c r="AN317" t="s">
        <v>3792</v>
      </c>
      <c r="AO317" t="s">
        <v>3793</v>
      </c>
      <c r="AP317" t="s">
        <v>74</v>
      </c>
      <c r="AQ317" t="s">
        <v>74</v>
      </c>
      <c r="AR317" t="s">
        <v>3794</v>
      </c>
      <c r="AS317" t="s">
        <v>3795</v>
      </c>
      <c r="AT317" t="s">
        <v>74</v>
      </c>
      <c r="AU317">
        <v>1998</v>
      </c>
      <c r="AV317">
        <v>26</v>
      </c>
      <c r="AW317" t="s">
        <v>74</v>
      </c>
      <c r="AX317" t="s">
        <v>74</v>
      </c>
      <c r="AY317" t="s">
        <v>74</v>
      </c>
      <c r="AZ317" t="s">
        <v>74</v>
      </c>
      <c r="BA317" t="s">
        <v>74</v>
      </c>
      <c r="BB317">
        <v>219</v>
      </c>
      <c r="BC317">
        <v>253</v>
      </c>
      <c r="BD317" t="s">
        <v>74</v>
      </c>
      <c r="BE317" t="s">
        <v>3796</v>
      </c>
      <c r="BF317" t="str">
        <f>HYPERLINK("http://dx.doi.org/10.1146/annurev.earth.26.1.219","http://dx.doi.org/10.1146/annurev.earth.26.1.219")</f>
        <v>http://dx.doi.org/10.1146/annurev.earth.26.1.219</v>
      </c>
      <c r="BG317" t="s">
        <v>74</v>
      </c>
      <c r="BH317" t="s">
        <v>74</v>
      </c>
      <c r="BI317">
        <v>43</v>
      </c>
      <c r="BJ317" t="s">
        <v>3797</v>
      </c>
      <c r="BK317" t="s">
        <v>98</v>
      </c>
      <c r="BL317" t="s">
        <v>3798</v>
      </c>
      <c r="BM317" t="s">
        <v>3799</v>
      </c>
      <c r="BN317" t="s">
        <v>74</v>
      </c>
      <c r="BO317" t="s">
        <v>74</v>
      </c>
      <c r="BP317" t="s">
        <v>74</v>
      </c>
      <c r="BQ317" t="s">
        <v>74</v>
      </c>
      <c r="BR317" t="s">
        <v>101</v>
      </c>
      <c r="BS317" t="s">
        <v>3800</v>
      </c>
      <c r="BT317" t="str">
        <f>HYPERLINK("https%3A%2F%2Fwww.webofscience.com%2Fwos%2Fwoscc%2Ffull-record%2FWOS:000073923900011","View Full Record in Web of Science")</f>
        <v>View Full Record in Web of Science</v>
      </c>
    </row>
    <row r="318" spans="1:72" x14ac:dyDescent="0.15">
      <c r="A318" t="s">
        <v>72</v>
      </c>
      <c r="B318" t="s">
        <v>3801</v>
      </c>
      <c r="C318" t="s">
        <v>74</v>
      </c>
      <c r="D318" t="s">
        <v>74</v>
      </c>
      <c r="E318" t="s">
        <v>74</v>
      </c>
      <c r="F318" t="s">
        <v>3801</v>
      </c>
      <c r="G318" t="s">
        <v>74</v>
      </c>
      <c r="H318" t="s">
        <v>74</v>
      </c>
      <c r="I318" t="s">
        <v>3802</v>
      </c>
      <c r="J318" t="s">
        <v>3782</v>
      </c>
      <c r="K318" t="s">
        <v>74</v>
      </c>
      <c r="L318" t="s">
        <v>74</v>
      </c>
      <c r="M318" t="s">
        <v>77</v>
      </c>
      <c r="N318" t="s">
        <v>494</v>
      </c>
      <c r="O318" t="s">
        <v>74</v>
      </c>
      <c r="P318" t="s">
        <v>74</v>
      </c>
      <c r="Q318" t="s">
        <v>74</v>
      </c>
      <c r="R318" t="s">
        <v>74</v>
      </c>
      <c r="S318" t="s">
        <v>74</v>
      </c>
      <c r="T318" t="s">
        <v>3803</v>
      </c>
      <c r="U318" t="s">
        <v>3804</v>
      </c>
      <c r="V318" t="s">
        <v>3805</v>
      </c>
      <c r="W318" t="s">
        <v>3806</v>
      </c>
      <c r="X318" t="s">
        <v>3807</v>
      </c>
      <c r="Y318" t="s">
        <v>3808</v>
      </c>
      <c r="Z318" t="s">
        <v>3809</v>
      </c>
      <c r="AA318" t="s">
        <v>3810</v>
      </c>
      <c r="AB318" t="s">
        <v>3811</v>
      </c>
      <c r="AC318" t="s">
        <v>74</v>
      </c>
      <c r="AD318" t="s">
        <v>74</v>
      </c>
      <c r="AE318" t="s">
        <v>74</v>
      </c>
      <c r="AF318" t="s">
        <v>74</v>
      </c>
      <c r="AG318">
        <v>189</v>
      </c>
      <c r="AH318">
        <v>47</v>
      </c>
      <c r="AI318">
        <v>50</v>
      </c>
      <c r="AJ318">
        <v>0</v>
      </c>
      <c r="AK318">
        <v>14</v>
      </c>
      <c r="AL318" t="s">
        <v>3790</v>
      </c>
      <c r="AM318" t="s">
        <v>3791</v>
      </c>
      <c r="AN318" t="s">
        <v>3792</v>
      </c>
      <c r="AO318" t="s">
        <v>3793</v>
      </c>
      <c r="AP318" t="s">
        <v>3812</v>
      </c>
      <c r="AQ318" t="s">
        <v>74</v>
      </c>
      <c r="AR318" t="s">
        <v>3794</v>
      </c>
      <c r="AS318" t="s">
        <v>3795</v>
      </c>
      <c r="AT318" t="s">
        <v>74</v>
      </c>
      <c r="AU318">
        <v>1998</v>
      </c>
      <c r="AV318">
        <v>26</v>
      </c>
      <c r="AW318" t="s">
        <v>74</v>
      </c>
      <c r="AX318" t="s">
        <v>74</v>
      </c>
      <c r="AY318" t="s">
        <v>74</v>
      </c>
      <c r="AZ318" t="s">
        <v>74</v>
      </c>
      <c r="BA318" t="s">
        <v>74</v>
      </c>
      <c r="BB318">
        <v>697</v>
      </c>
      <c r="BC318">
        <v>747</v>
      </c>
      <c r="BD318" t="s">
        <v>74</v>
      </c>
      <c r="BE318" t="s">
        <v>3813</v>
      </c>
      <c r="BF318" t="str">
        <f>HYPERLINK("http://dx.doi.org/10.1146/annurev.earth.26.1.697","http://dx.doi.org/10.1146/annurev.earth.26.1.697")</f>
        <v>http://dx.doi.org/10.1146/annurev.earth.26.1.697</v>
      </c>
      <c r="BG318" t="s">
        <v>74</v>
      </c>
      <c r="BH318" t="s">
        <v>74</v>
      </c>
      <c r="BI318">
        <v>51</v>
      </c>
      <c r="BJ318" t="s">
        <v>3797</v>
      </c>
      <c r="BK318" t="s">
        <v>98</v>
      </c>
      <c r="BL318" t="s">
        <v>3798</v>
      </c>
      <c r="BM318" t="s">
        <v>3799</v>
      </c>
      <c r="BN318" t="s">
        <v>74</v>
      </c>
      <c r="BO318" t="s">
        <v>74</v>
      </c>
      <c r="BP318" t="s">
        <v>74</v>
      </c>
      <c r="BQ318" t="s">
        <v>74</v>
      </c>
      <c r="BR318" t="s">
        <v>101</v>
      </c>
      <c r="BS318" t="s">
        <v>3814</v>
      </c>
      <c r="BT318" t="str">
        <f>HYPERLINK("https%3A%2F%2Fwww.webofscience.com%2Fwos%2Fwoscc%2Ffull-record%2FWOS:000073923900022","View Full Record in Web of Science")</f>
        <v>View Full Record in Web of Science</v>
      </c>
    </row>
    <row r="319" spans="1:72" x14ac:dyDescent="0.15">
      <c r="A319" t="s">
        <v>72</v>
      </c>
      <c r="B319" t="s">
        <v>3815</v>
      </c>
      <c r="C319" t="s">
        <v>74</v>
      </c>
      <c r="D319" t="s">
        <v>74</v>
      </c>
      <c r="E319" t="s">
        <v>74</v>
      </c>
      <c r="F319" t="s">
        <v>3815</v>
      </c>
      <c r="G319" t="s">
        <v>74</v>
      </c>
      <c r="H319" t="s">
        <v>74</v>
      </c>
      <c r="I319" t="s">
        <v>3816</v>
      </c>
      <c r="J319" t="s">
        <v>3817</v>
      </c>
      <c r="K319" t="s">
        <v>74</v>
      </c>
      <c r="L319" t="s">
        <v>74</v>
      </c>
      <c r="M319" t="s">
        <v>77</v>
      </c>
      <c r="N319" t="s">
        <v>78</v>
      </c>
      <c r="O319" t="s">
        <v>74</v>
      </c>
      <c r="P319" t="s">
        <v>74</v>
      </c>
      <c r="Q319" t="s">
        <v>74</v>
      </c>
      <c r="R319" t="s">
        <v>74</v>
      </c>
      <c r="S319" t="s">
        <v>74</v>
      </c>
      <c r="T319" t="s">
        <v>3818</v>
      </c>
      <c r="U319" t="s">
        <v>3819</v>
      </c>
      <c r="V319" t="s">
        <v>3820</v>
      </c>
      <c r="W319" t="s">
        <v>3821</v>
      </c>
      <c r="X319" t="s">
        <v>3822</v>
      </c>
      <c r="Y319" t="s">
        <v>3823</v>
      </c>
      <c r="Z319" t="s">
        <v>74</v>
      </c>
      <c r="AA319" t="s">
        <v>74</v>
      </c>
      <c r="AB319" t="s">
        <v>3824</v>
      </c>
      <c r="AC319" t="s">
        <v>74</v>
      </c>
      <c r="AD319" t="s">
        <v>74</v>
      </c>
      <c r="AE319" t="s">
        <v>74</v>
      </c>
      <c r="AF319" t="s">
        <v>74</v>
      </c>
      <c r="AG319">
        <v>14</v>
      </c>
      <c r="AH319">
        <v>10</v>
      </c>
      <c r="AI319">
        <v>12</v>
      </c>
      <c r="AJ319">
        <v>0</v>
      </c>
      <c r="AK319">
        <v>0</v>
      </c>
      <c r="AL319" t="s">
        <v>854</v>
      </c>
      <c r="AM319" t="s">
        <v>855</v>
      </c>
      <c r="AN319" t="s">
        <v>856</v>
      </c>
      <c r="AO319" t="s">
        <v>3825</v>
      </c>
      <c r="AP319" t="s">
        <v>74</v>
      </c>
      <c r="AQ319" t="s">
        <v>74</v>
      </c>
      <c r="AR319" t="s">
        <v>3826</v>
      </c>
      <c r="AS319" t="s">
        <v>3827</v>
      </c>
      <c r="AT319" t="s">
        <v>74</v>
      </c>
      <c r="AU319">
        <v>1998</v>
      </c>
      <c r="AV319">
        <v>59</v>
      </c>
      <c r="AW319" t="s">
        <v>1508</v>
      </c>
      <c r="AX319" t="s">
        <v>74</v>
      </c>
      <c r="AY319" t="s">
        <v>74</v>
      </c>
      <c r="AZ319" t="s">
        <v>74</v>
      </c>
      <c r="BA319" t="s">
        <v>74</v>
      </c>
      <c r="BB319">
        <v>205</v>
      </c>
      <c r="BC319">
        <v>218</v>
      </c>
      <c r="BD319" t="s">
        <v>74</v>
      </c>
      <c r="BE319" t="s">
        <v>74</v>
      </c>
      <c r="BF319" t="s">
        <v>74</v>
      </c>
      <c r="BG319" t="s">
        <v>74</v>
      </c>
      <c r="BH319" t="s">
        <v>74</v>
      </c>
      <c r="BI319">
        <v>14</v>
      </c>
      <c r="BJ319" t="s">
        <v>3828</v>
      </c>
      <c r="BK319" t="s">
        <v>98</v>
      </c>
      <c r="BL319" t="s">
        <v>3828</v>
      </c>
      <c r="BM319" t="s">
        <v>3829</v>
      </c>
      <c r="BN319" t="s">
        <v>74</v>
      </c>
      <c r="BO319" t="s">
        <v>74</v>
      </c>
      <c r="BP319" t="s">
        <v>74</v>
      </c>
      <c r="BQ319" t="s">
        <v>74</v>
      </c>
      <c r="BR319" t="s">
        <v>101</v>
      </c>
      <c r="BS319" t="s">
        <v>3830</v>
      </c>
      <c r="BT319" t="str">
        <f>HYPERLINK("https%3A%2F%2Fwww.webofscience.com%2Fwos%2Fwoscc%2Ffull-record%2FWOS:000076442300008","View Full Record in Web of Science")</f>
        <v>View Full Record in Web of Science</v>
      </c>
    </row>
    <row r="320" spans="1:72" x14ac:dyDescent="0.15">
      <c r="A320" t="s">
        <v>72</v>
      </c>
      <c r="B320" t="s">
        <v>3831</v>
      </c>
      <c r="C320" t="s">
        <v>74</v>
      </c>
      <c r="D320" t="s">
        <v>74</v>
      </c>
      <c r="E320" t="s">
        <v>74</v>
      </c>
      <c r="F320" t="s">
        <v>3831</v>
      </c>
      <c r="G320" t="s">
        <v>74</v>
      </c>
      <c r="H320" t="s">
        <v>74</v>
      </c>
      <c r="I320" t="s">
        <v>3832</v>
      </c>
      <c r="J320" t="s">
        <v>3833</v>
      </c>
      <c r="K320" t="s">
        <v>74</v>
      </c>
      <c r="L320" t="s">
        <v>74</v>
      </c>
      <c r="M320" t="s">
        <v>77</v>
      </c>
      <c r="N320" t="s">
        <v>78</v>
      </c>
      <c r="O320" t="s">
        <v>74</v>
      </c>
      <c r="P320" t="s">
        <v>74</v>
      </c>
      <c r="Q320" t="s">
        <v>74</v>
      </c>
      <c r="R320" t="s">
        <v>74</v>
      </c>
      <c r="S320" t="s">
        <v>74</v>
      </c>
      <c r="T320" t="s">
        <v>74</v>
      </c>
      <c r="U320" t="s">
        <v>3834</v>
      </c>
      <c r="V320" t="s">
        <v>3835</v>
      </c>
      <c r="W320" t="s">
        <v>3836</v>
      </c>
      <c r="X320" t="s">
        <v>3837</v>
      </c>
      <c r="Y320" t="s">
        <v>1062</v>
      </c>
      <c r="Z320" t="s">
        <v>3838</v>
      </c>
      <c r="AA320" t="s">
        <v>74</v>
      </c>
      <c r="AB320" t="s">
        <v>74</v>
      </c>
      <c r="AC320" t="s">
        <v>74</v>
      </c>
      <c r="AD320" t="s">
        <v>74</v>
      </c>
      <c r="AE320" t="s">
        <v>74</v>
      </c>
      <c r="AF320" t="s">
        <v>74</v>
      </c>
      <c r="AG320">
        <v>44</v>
      </c>
      <c r="AH320">
        <v>53</v>
      </c>
      <c r="AI320">
        <v>63</v>
      </c>
      <c r="AJ320">
        <v>0</v>
      </c>
      <c r="AK320">
        <v>12</v>
      </c>
      <c r="AL320" t="s">
        <v>3839</v>
      </c>
      <c r="AM320" t="s">
        <v>2648</v>
      </c>
      <c r="AN320" t="s">
        <v>3840</v>
      </c>
      <c r="AO320" t="s">
        <v>3841</v>
      </c>
      <c r="AP320" t="s">
        <v>74</v>
      </c>
      <c r="AQ320" t="s">
        <v>74</v>
      </c>
      <c r="AR320" t="s">
        <v>3842</v>
      </c>
      <c r="AS320" t="s">
        <v>3843</v>
      </c>
      <c r="AT320" t="s">
        <v>2502</v>
      </c>
      <c r="AU320">
        <v>1998</v>
      </c>
      <c r="AV320">
        <v>141</v>
      </c>
      <c r="AW320">
        <v>2</v>
      </c>
      <c r="AX320" t="s">
        <v>74</v>
      </c>
      <c r="AY320" t="s">
        <v>74</v>
      </c>
      <c r="AZ320" t="s">
        <v>74</v>
      </c>
      <c r="BA320" t="s">
        <v>74</v>
      </c>
      <c r="BB320">
        <v>209</v>
      </c>
      <c r="BC320">
        <v>230</v>
      </c>
      <c r="BD320" t="s">
        <v>74</v>
      </c>
      <c r="BE320" t="s">
        <v>74</v>
      </c>
      <c r="BF320" t="s">
        <v>74</v>
      </c>
      <c r="BG320" t="s">
        <v>74</v>
      </c>
      <c r="BH320" t="s">
        <v>74</v>
      </c>
      <c r="BI320">
        <v>22</v>
      </c>
      <c r="BJ320" t="s">
        <v>3844</v>
      </c>
      <c r="BK320" t="s">
        <v>98</v>
      </c>
      <c r="BL320" t="s">
        <v>1802</v>
      </c>
      <c r="BM320" t="s">
        <v>3845</v>
      </c>
      <c r="BN320" t="s">
        <v>74</v>
      </c>
      <c r="BO320" t="s">
        <v>74</v>
      </c>
      <c r="BP320" t="s">
        <v>74</v>
      </c>
      <c r="BQ320" t="s">
        <v>74</v>
      </c>
      <c r="BR320" t="s">
        <v>101</v>
      </c>
      <c r="BS320" t="s">
        <v>3846</v>
      </c>
      <c r="BT320" t="str">
        <f>HYPERLINK("https%3A%2F%2Fwww.webofscience.com%2Fwos%2Fwoscc%2Ffull-record%2FWOS:000072478700006","View Full Record in Web of Science")</f>
        <v>View Full Record in Web of Science</v>
      </c>
    </row>
    <row r="321" spans="1:72" x14ac:dyDescent="0.15">
      <c r="A321" t="s">
        <v>72</v>
      </c>
      <c r="B321" t="s">
        <v>3847</v>
      </c>
      <c r="C321" t="s">
        <v>74</v>
      </c>
      <c r="D321" t="s">
        <v>74</v>
      </c>
      <c r="E321" t="s">
        <v>74</v>
      </c>
      <c r="F321" t="s">
        <v>3847</v>
      </c>
      <c r="G321" t="s">
        <v>74</v>
      </c>
      <c r="H321" t="s">
        <v>74</v>
      </c>
      <c r="I321" t="s">
        <v>3848</v>
      </c>
      <c r="J321" t="s">
        <v>3849</v>
      </c>
      <c r="K321" t="s">
        <v>74</v>
      </c>
      <c r="L321" t="s">
        <v>74</v>
      </c>
      <c r="M321" t="s">
        <v>77</v>
      </c>
      <c r="N321" t="s">
        <v>78</v>
      </c>
      <c r="O321" t="s">
        <v>74</v>
      </c>
      <c r="P321" t="s">
        <v>74</v>
      </c>
      <c r="Q321" t="s">
        <v>74</v>
      </c>
      <c r="R321" t="s">
        <v>74</v>
      </c>
      <c r="S321" t="s">
        <v>74</v>
      </c>
      <c r="T321" t="s">
        <v>74</v>
      </c>
      <c r="U321" t="s">
        <v>3850</v>
      </c>
      <c r="V321" t="s">
        <v>3851</v>
      </c>
      <c r="W321" t="s">
        <v>3852</v>
      </c>
      <c r="X321" t="s">
        <v>3853</v>
      </c>
      <c r="Y321" t="s">
        <v>3854</v>
      </c>
      <c r="Z321" t="s">
        <v>74</v>
      </c>
      <c r="AA321" t="s">
        <v>74</v>
      </c>
      <c r="AB321" t="s">
        <v>3855</v>
      </c>
      <c r="AC321" t="s">
        <v>74</v>
      </c>
      <c r="AD321" t="s">
        <v>74</v>
      </c>
      <c r="AE321" t="s">
        <v>74</v>
      </c>
      <c r="AF321" t="s">
        <v>74</v>
      </c>
      <c r="AG321">
        <v>25</v>
      </c>
      <c r="AH321">
        <v>2</v>
      </c>
      <c r="AI321">
        <v>3</v>
      </c>
      <c r="AJ321">
        <v>0</v>
      </c>
      <c r="AK321">
        <v>1</v>
      </c>
      <c r="AL321" t="s">
        <v>3856</v>
      </c>
      <c r="AM321" t="s">
        <v>3857</v>
      </c>
      <c r="AN321" t="s">
        <v>3858</v>
      </c>
      <c r="AO321" t="s">
        <v>3859</v>
      </c>
      <c r="AP321" t="s">
        <v>74</v>
      </c>
      <c r="AQ321" t="s">
        <v>74</v>
      </c>
      <c r="AR321" t="s">
        <v>3849</v>
      </c>
      <c r="AS321" t="s">
        <v>3860</v>
      </c>
      <c r="AT321" t="s">
        <v>3861</v>
      </c>
      <c r="AU321">
        <v>1998</v>
      </c>
      <c r="AV321">
        <v>11</v>
      </c>
      <c r="AW321">
        <v>1</v>
      </c>
      <c r="AX321" t="s">
        <v>74</v>
      </c>
      <c r="AY321" t="s">
        <v>74</v>
      </c>
      <c r="AZ321" t="s">
        <v>74</v>
      </c>
      <c r="BA321" t="s">
        <v>74</v>
      </c>
      <c r="BB321">
        <v>11</v>
      </c>
      <c r="BC321">
        <v>28</v>
      </c>
      <c r="BD321" t="s">
        <v>74</v>
      </c>
      <c r="BE321" t="s">
        <v>74</v>
      </c>
      <c r="BF321" t="s">
        <v>74</v>
      </c>
      <c r="BG321" t="s">
        <v>74</v>
      </c>
      <c r="BH321" t="s">
        <v>74</v>
      </c>
      <c r="BI321">
        <v>18</v>
      </c>
      <c r="BJ321" t="s">
        <v>635</v>
      </c>
      <c r="BK321" t="s">
        <v>98</v>
      </c>
      <c r="BL321" t="s">
        <v>635</v>
      </c>
      <c r="BM321" t="s">
        <v>3862</v>
      </c>
      <c r="BN321" t="s">
        <v>74</v>
      </c>
      <c r="BO321" t="s">
        <v>74</v>
      </c>
      <c r="BP321" t="s">
        <v>74</v>
      </c>
      <c r="BQ321" t="s">
        <v>74</v>
      </c>
      <c r="BR321" t="s">
        <v>101</v>
      </c>
      <c r="BS321" t="s">
        <v>3863</v>
      </c>
      <c r="BT321" t="str">
        <f>HYPERLINK("https%3A%2F%2Fwww.webofscience.com%2Fwos%2Fwoscc%2Ffull-record%2FWOS:000071453400002","View Full Record in Web of Science")</f>
        <v>View Full Record in Web of Science</v>
      </c>
    </row>
    <row r="322" spans="1:72" x14ac:dyDescent="0.15">
      <c r="A322" t="s">
        <v>72</v>
      </c>
      <c r="B322" t="s">
        <v>3864</v>
      </c>
      <c r="C322" t="s">
        <v>74</v>
      </c>
      <c r="D322" t="s">
        <v>74</v>
      </c>
      <c r="E322" t="s">
        <v>74</v>
      </c>
      <c r="F322" t="s">
        <v>3864</v>
      </c>
      <c r="G322" t="s">
        <v>74</v>
      </c>
      <c r="H322" t="s">
        <v>74</v>
      </c>
      <c r="I322" t="s">
        <v>3865</v>
      </c>
      <c r="J322" t="s">
        <v>3866</v>
      </c>
      <c r="K322" t="s">
        <v>74</v>
      </c>
      <c r="L322" t="s">
        <v>74</v>
      </c>
      <c r="M322" t="s">
        <v>77</v>
      </c>
      <c r="N322" t="s">
        <v>78</v>
      </c>
      <c r="O322" t="s">
        <v>74</v>
      </c>
      <c r="P322" t="s">
        <v>74</v>
      </c>
      <c r="Q322" t="s">
        <v>74</v>
      </c>
      <c r="R322" t="s">
        <v>74</v>
      </c>
      <c r="S322" t="s">
        <v>74</v>
      </c>
      <c r="T322" t="s">
        <v>74</v>
      </c>
      <c r="U322" t="s">
        <v>3867</v>
      </c>
      <c r="V322" t="s">
        <v>3868</v>
      </c>
      <c r="W322" t="s">
        <v>3869</v>
      </c>
      <c r="X322" t="s">
        <v>3870</v>
      </c>
      <c r="Y322" t="s">
        <v>3871</v>
      </c>
      <c r="Z322" t="s">
        <v>74</v>
      </c>
      <c r="AA322" t="s">
        <v>74</v>
      </c>
      <c r="AB322" t="s">
        <v>74</v>
      </c>
      <c r="AC322" t="s">
        <v>74</v>
      </c>
      <c r="AD322" t="s">
        <v>74</v>
      </c>
      <c r="AE322" t="s">
        <v>74</v>
      </c>
      <c r="AF322" t="s">
        <v>74</v>
      </c>
      <c r="AG322">
        <v>25</v>
      </c>
      <c r="AH322">
        <v>25</v>
      </c>
      <c r="AI322">
        <v>27</v>
      </c>
      <c r="AJ322">
        <v>0</v>
      </c>
      <c r="AK322">
        <v>7</v>
      </c>
      <c r="AL322" t="s">
        <v>3872</v>
      </c>
      <c r="AM322" t="s">
        <v>3873</v>
      </c>
      <c r="AN322" t="s">
        <v>3874</v>
      </c>
      <c r="AO322" t="s">
        <v>3875</v>
      </c>
      <c r="AP322" t="s">
        <v>74</v>
      </c>
      <c r="AQ322" t="s">
        <v>74</v>
      </c>
      <c r="AR322" t="s">
        <v>3876</v>
      </c>
      <c r="AS322" t="s">
        <v>3877</v>
      </c>
      <c r="AT322" t="s">
        <v>2502</v>
      </c>
      <c r="AU322">
        <v>1998</v>
      </c>
      <c r="AV322">
        <v>69</v>
      </c>
      <c r="AW322">
        <v>1</v>
      </c>
      <c r="AX322" t="s">
        <v>74</v>
      </c>
      <c r="AY322" t="s">
        <v>74</v>
      </c>
      <c r="AZ322" t="s">
        <v>74</v>
      </c>
      <c r="BA322" t="s">
        <v>74</v>
      </c>
      <c r="BB322">
        <v>73</v>
      </c>
      <c r="BC322">
        <v>77</v>
      </c>
      <c r="BD322" t="s">
        <v>74</v>
      </c>
      <c r="BE322" t="s">
        <v>74</v>
      </c>
      <c r="BF322" t="s">
        <v>74</v>
      </c>
      <c r="BG322" t="s">
        <v>74</v>
      </c>
      <c r="BH322" t="s">
        <v>74</v>
      </c>
      <c r="BI322">
        <v>5</v>
      </c>
      <c r="BJ322" t="s">
        <v>3878</v>
      </c>
      <c r="BK322" t="s">
        <v>3879</v>
      </c>
      <c r="BL322" t="s">
        <v>3880</v>
      </c>
      <c r="BM322" t="s">
        <v>3881</v>
      </c>
      <c r="BN322">
        <v>9451538</v>
      </c>
      <c r="BO322" t="s">
        <v>74</v>
      </c>
      <c r="BP322" t="s">
        <v>74</v>
      </c>
      <c r="BQ322" t="s">
        <v>74</v>
      </c>
      <c r="BR322" t="s">
        <v>101</v>
      </c>
      <c r="BS322" t="s">
        <v>3882</v>
      </c>
      <c r="BT322" t="str">
        <f>HYPERLINK("https%3A%2F%2Fwww.webofscience.com%2Fwos%2Fwoscc%2Ffull-record%2FWOS:000071399000013","View Full Record in Web of Science")</f>
        <v>View Full Record in Web of Science</v>
      </c>
    </row>
    <row r="323" spans="1:72" x14ac:dyDescent="0.15">
      <c r="A323" t="s">
        <v>72</v>
      </c>
      <c r="B323" t="s">
        <v>3883</v>
      </c>
      <c r="C323" t="s">
        <v>74</v>
      </c>
      <c r="D323" t="s">
        <v>74</v>
      </c>
      <c r="E323" t="s">
        <v>74</v>
      </c>
      <c r="F323" t="s">
        <v>3883</v>
      </c>
      <c r="G323" t="s">
        <v>74</v>
      </c>
      <c r="H323" t="s">
        <v>74</v>
      </c>
      <c r="I323" t="s">
        <v>3884</v>
      </c>
      <c r="J323" t="s">
        <v>3885</v>
      </c>
      <c r="K323" t="s">
        <v>74</v>
      </c>
      <c r="L323" t="s">
        <v>74</v>
      </c>
      <c r="M323" t="s">
        <v>77</v>
      </c>
      <c r="N323" t="s">
        <v>78</v>
      </c>
      <c r="O323" t="s">
        <v>74</v>
      </c>
      <c r="P323" t="s">
        <v>74</v>
      </c>
      <c r="Q323" t="s">
        <v>74</v>
      </c>
      <c r="R323" t="s">
        <v>74</v>
      </c>
      <c r="S323" t="s">
        <v>74</v>
      </c>
      <c r="T323" t="s">
        <v>3886</v>
      </c>
      <c r="U323" t="s">
        <v>3887</v>
      </c>
      <c r="V323" t="s">
        <v>3888</v>
      </c>
      <c r="W323" t="s">
        <v>3889</v>
      </c>
      <c r="X323" t="s">
        <v>3890</v>
      </c>
      <c r="Y323" t="s">
        <v>3891</v>
      </c>
      <c r="Z323" t="s">
        <v>74</v>
      </c>
      <c r="AA323" t="s">
        <v>74</v>
      </c>
      <c r="AB323" t="s">
        <v>3892</v>
      </c>
      <c r="AC323" t="s">
        <v>74</v>
      </c>
      <c r="AD323" t="s">
        <v>74</v>
      </c>
      <c r="AE323" t="s">
        <v>74</v>
      </c>
      <c r="AF323" t="s">
        <v>74</v>
      </c>
      <c r="AG323">
        <v>22</v>
      </c>
      <c r="AH323">
        <v>13</v>
      </c>
      <c r="AI323">
        <v>14</v>
      </c>
      <c r="AJ323">
        <v>1</v>
      </c>
      <c r="AK323">
        <v>5</v>
      </c>
      <c r="AL323" t="s">
        <v>854</v>
      </c>
      <c r="AM323" t="s">
        <v>855</v>
      </c>
      <c r="AN323" t="s">
        <v>856</v>
      </c>
      <c r="AO323" t="s">
        <v>3893</v>
      </c>
      <c r="AP323" t="s">
        <v>74</v>
      </c>
      <c r="AQ323" t="s">
        <v>74</v>
      </c>
      <c r="AR323" t="s">
        <v>3894</v>
      </c>
      <c r="AS323" t="s">
        <v>3895</v>
      </c>
      <c r="AT323" t="s">
        <v>2502</v>
      </c>
      <c r="AU323">
        <v>1998</v>
      </c>
      <c r="AV323">
        <v>86</v>
      </c>
      <c r="AW323">
        <v>1</v>
      </c>
      <c r="AX323" t="s">
        <v>74</v>
      </c>
      <c r="AY323" t="s">
        <v>74</v>
      </c>
      <c r="AZ323" t="s">
        <v>74</v>
      </c>
      <c r="BA323" t="s">
        <v>74</v>
      </c>
      <c r="BB323">
        <v>47</v>
      </c>
      <c r="BC323">
        <v>61</v>
      </c>
      <c r="BD323" t="s">
        <v>74</v>
      </c>
      <c r="BE323" t="s">
        <v>3896</v>
      </c>
      <c r="BF323" t="str">
        <f>HYPERLINK("http://dx.doi.org/10.1023/A:1000555504268","http://dx.doi.org/10.1023/A:1000555504268")</f>
        <v>http://dx.doi.org/10.1023/A:1000555504268</v>
      </c>
      <c r="BG323" t="s">
        <v>74</v>
      </c>
      <c r="BH323" t="s">
        <v>74</v>
      </c>
      <c r="BI323">
        <v>15</v>
      </c>
      <c r="BJ323" t="s">
        <v>635</v>
      </c>
      <c r="BK323" t="s">
        <v>98</v>
      </c>
      <c r="BL323" t="s">
        <v>635</v>
      </c>
      <c r="BM323" t="s">
        <v>3897</v>
      </c>
      <c r="BN323" t="s">
        <v>74</v>
      </c>
      <c r="BO323" t="s">
        <v>74</v>
      </c>
      <c r="BP323" t="s">
        <v>74</v>
      </c>
      <c r="BQ323" t="s">
        <v>74</v>
      </c>
      <c r="BR323" t="s">
        <v>101</v>
      </c>
      <c r="BS323" t="s">
        <v>3898</v>
      </c>
      <c r="BT323" t="str">
        <f>HYPERLINK("https%3A%2F%2Fwww.webofscience.com%2Fwos%2Fwoscc%2Ffull-record%2FWOS:000072604200003","View Full Record in Web of Science")</f>
        <v>View Full Record in Web of Science</v>
      </c>
    </row>
    <row r="324" spans="1:72" x14ac:dyDescent="0.15">
      <c r="A324" t="s">
        <v>72</v>
      </c>
      <c r="B324" t="s">
        <v>3899</v>
      </c>
      <c r="C324" t="s">
        <v>74</v>
      </c>
      <c r="D324" t="s">
        <v>74</v>
      </c>
      <c r="E324" t="s">
        <v>74</v>
      </c>
      <c r="F324" t="s">
        <v>3899</v>
      </c>
      <c r="G324" t="s">
        <v>74</v>
      </c>
      <c r="H324" t="s">
        <v>74</v>
      </c>
      <c r="I324" t="s">
        <v>3900</v>
      </c>
      <c r="J324" t="s">
        <v>3885</v>
      </c>
      <c r="K324" t="s">
        <v>74</v>
      </c>
      <c r="L324" t="s">
        <v>74</v>
      </c>
      <c r="M324" t="s">
        <v>77</v>
      </c>
      <c r="N324" t="s">
        <v>78</v>
      </c>
      <c r="O324" t="s">
        <v>74</v>
      </c>
      <c r="P324" t="s">
        <v>74</v>
      </c>
      <c r="Q324" t="s">
        <v>74</v>
      </c>
      <c r="R324" t="s">
        <v>74</v>
      </c>
      <c r="S324" t="s">
        <v>74</v>
      </c>
      <c r="T324" t="s">
        <v>3901</v>
      </c>
      <c r="U324" t="s">
        <v>74</v>
      </c>
      <c r="V324" t="s">
        <v>3902</v>
      </c>
      <c r="W324" t="s">
        <v>3903</v>
      </c>
      <c r="X324" t="s">
        <v>3904</v>
      </c>
      <c r="Y324" t="s">
        <v>3905</v>
      </c>
      <c r="Z324" t="s">
        <v>74</v>
      </c>
      <c r="AA324" t="s">
        <v>74</v>
      </c>
      <c r="AB324" t="s">
        <v>3892</v>
      </c>
      <c r="AC324" t="s">
        <v>74</v>
      </c>
      <c r="AD324" t="s">
        <v>74</v>
      </c>
      <c r="AE324" t="s">
        <v>74</v>
      </c>
      <c r="AF324" t="s">
        <v>74</v>
      </c>
      <c r="AG324">
        <v>6</v>
      </c>
      <c r="AH324">
        <v>9</v>
      </c>
      <c r="AI324">
        <v>10</v>
      </c>
      <c r="AJ324">
        <v>0</v>
      </c>
      <c r="AK324">
        <v>1</v>
      </c>
      <c r="AL324" t="s">
        <v>854</v>
      </c>
      <c r="AM324" t="s">
        <v>855</v>
      </c>
      <c r="AN324" t="s">
        <v>856</v>
      </c>
      <c r="AO324" t="s">
        <v>3893</v>
      </c>
      <c r="AP324" t="s">
        <v>74</v>
      </c>
      <c r="AQ324" t="s">
        <v>74</v>
      </c>
      <c r="AR324" t="s">
        <v>3894</v>
      </c>
      <c r="AS324" t="s">
        <v>3895</v>
      </c>
      <c r="AT324" t="s">
        <v>2502</v>
      </c>
      <c r="AU324">
        <v>1998</v>
      </c>
      <c r="AV324">
        <v>86</v>
      </c>
      <c r="AW324">
        <v>1</v>
      </c>
      <c r="AX324" t="s">
        <v>74</v>
      </c>
      <c r="AY324" t="s">
        <v>74</v>
      </c>
      <c r="AZ324" t="s">
        <v>74</v>
      </c>
      <c r="BA324" t="s">
        <v>74</v>
      </c>
      <c r="BB324">
        <v>181</v>
      </c>
      <c r="BC324">
        <v>187</v>
      </c>
      <c r="BD324" t="s">
        <v>74</v>
      </c>
      <c r="BE324" t="s">
        <v>3906</v>
      </c>
      <c r="BF324" t="str">
        <f>HYPERLINK("http://dx.doi.org/10.1023/A:1000566921106","http://dx.doi.org/10.1023/A:1000566921106")</f>
        <v>http://dx.doi.org/10.1023/A:1000566921106</v>
      </c>
      <c r="BG324" t="s">
        <v>74</v>
      </c>
      <c r="BH324" t="s">
        <v>74</v>
      </c>
      <c r="BI324">
        <v>7</v>
      </c>
      <c r="BJ324" t="s">
        <v>635</v>
      </c>
      <c r="BK324" t="s">
        <v>98</v>
      </c>
      <c r="BL324" t="s">
        <v>635</v>
      </c>
      <c r="BM324" t="s">
        <v>3897</v>
      </c>
      <c r="BN324" t="s">
        <v>74</v>
      </c>
      <c r="BO324" t="s">
        <v>74</v>
      </c>
      <c r="BP324" t="s">
        <v>74</v>
      </c>
      <c r="BQ324" t="s">
        <v>74</v>
      </c>
      <c r="BR324" t="s">
        <v>101</v>
      </c>
      <c r="BS324" t="s">
        <v>3907</v>
      </c>
      <c r="BT324" t="str">
        <f>HYPERLINK("https%3A%2F%2Fwww.webofscience.com%2Fwos%2Fwoscc%2Ffull-record%2FWOS:000072604200009","View Full Record in Web of Science")</f>
        <v>View Full Record in Web of Science</v>
      </c>
    </row>
    <row r="325" spans="1:72" x14ac:dyDescent="0.15">
      <c r="A325" t="s">
        <v>72</v>
      </c>
      <c r="B325" t="s">
        <v>3908</v>
      </c>
      <c r="C325" t="s">
        <v>74</v>
      </c>
      <c r="D325" t="s">
        <v>74</v>
      </c>
      <c r="E325" t="s">
        <v>74</v>
      </c>
      <c r="F325" t="s">
        <v>3908</v>
      </c>
      <c r="G325" t="s">
        <v>74</v>
      </c>
      <c r="H325" t="s">
        <v>74</v>
      </c>
      <c r="I325" t="s">
        <v>3909</v>
      </c>
      <c r="J325" t="s">
        <v>3910</v>
      </c>
      <c r="K325" t="s">
        <v>74</v>
      </c>
      <c r="L325" t="s">
        <v>74</v>
      </c>
      <c r="M325" t="s">
        <v>77</v>
      </c>
      <c r="N325" t="s">
        <v>78</v>
      </c>
      <c r="O325" t="s">
        <v>74</v>
      </c>
      <c r="P325" t="s">
        <v>74</v>
      </c>
      <c r="Q325" t="s">
        <v>74</v>
      </c>
      <c r="R325" t="s">
        <v>74</v>
      </c>
      <c r="S325" t="s">
        <v>74</v>
      </c>
      <c r="T325" t="s">
        <v>3911</v>
      </c>
      <c r="U325" t="s">
        <v>3912</v>
      </c>
      <c r="V325" t="s">
        <v>3913</v>
      </c>
      <c r="W325" t="s">
        <v>3914</v>
      </c>
      <c r="X325" t="s">
        <v>3915</v>
      </c>
      <c r="Y325" t="s">
        <v>3916</v>
      </c>
      <c r="Z325" t="s">
        <v>74</v>
      </c>
      <c r="AA325" t="s">
        <v>74</v>
      </c>
      <c r="AB325" t="s">
        <v>74</v>
      </c>
      <c r="AC325" t="s">
        <v>74</v>
      </c>
      <c r="AD325" t="s">
        <v>74</v>
      </c>
      <c r="AE325" t="s">
        <v>74</v>
      </c>
      <c r="AF325" t="s">
        <v>74</v>
      </c>
      <c r="AG325">
        <v>32</v>
      </c>
      <c r="AH325">
        <v>7</v>
      </c>
      <c r="AI325">
        <v>7</v>
      </c>
      <c r="AJ325">
        <v>0</v>
      </c>
      <c r="AK325">
        <v>2</v>
      </c>
      <c r="AL325" t="s">
        <v>3917</v>
      </c>
      <c r="AM325" t="s">
        <v>3918</v>
      </c>
      <c r="AN325" t="s">
        <v>3919</v>
      </c>
      <c r="AO325" t="s">
        <v>3920</v>
      </c>
      <c r="AP325" t="s">
        <v>74</v>
      </c>
      <c r="AQ325" t="s">
        <v>74</v>
      </c>
      <c r="AR325" t="s">
        <v>3921</v>
      </c>
      <c r="AS325" t="s">
        <v>3922</v>
      </c>
      <c r="AT325" t="s">
        <v>74</v>
      </c>
      <c r="AU325">
        <v>1998</v>
      </c>
      <c r="AV325">
        <v>41</v>
      </c>
      <c r="AW325">
        <v>4</v>
      </c>
      <c r="AX325" t="s">
        <v>74</v>
      </c>
      <c r="AY325" t="s">
        <v>74</v>
      </c>
      <c r="AZ325" t="s">
        <v>74</v>
      </c>
      <c r="BA325" t="s">
        <v>74</v>
      </c>
      <c r="BB325">
        <v>437</v>
      </c>
      <c r="BC325">
        <v>446</v>
      </c>
      <c r="BD325" t="s">
        <v>74</v>
      </c>
      <c r="BE325" t="s">
        <v>3923</v>
      </c>
      <c r="BF325" t="str">
        <f>HYPERLINK("http://dx.doi.org/10.1590/S1516-89131998000400008","http://dx.doi.org/10.1590/S1516-89131998000400008")</f>
        <v>http://dx.doi.org/10.1590/S1516-89131998000400008</v>
      </c>
      <c r="BG325" t="s">
        <v>74</v>
      </c>
      <c r="BH325" t="s">
        <v>74</v>
      </c>
      <c r="BI325">
        <v>10</v>
      </c>
      <c r="BJ325" t="s">
        <v>1386</v>
      </c>
      <c r="BK325" t="s">
        <v>98</v>
      </c>
      <c r="BL325" t="s">
        <v>1387</v>
      </c>
      <c r="BM325" t="s">
        <v>3924</v>
      </c>
      <c r="BN325" t="s">
        <v>74</v>
      </c>
      <c r="BO325" t="s">
        <v>3925</v>
      </c>
      <c r="BP325" t="s">
        <v>74</v>
      </c>
      <c r="BQ325" t="s">
        <v>74</v>
      </c>
      <c r="BR325" t="s">
        <v>101</v>
      </c>
      <c r="BS325" t="s">
        <v>3926</v>
      </c>
      <c r="BT325" t="str">
        <f>HYPERLINK("https%3A%2F%2Fwww.webofscience.com%2Fwos%2Fwoscc%2Ffull-record%2FWOS:000080451200008","View Full Record in Web of Science")</f>
        <v>View Full Record in Web of Science</v>
      </c>
    </row>
    <row r="326" spans="1:72" x14ac:dyDescent="0.15">
      <c r="A326" t="s">
        <v>72</v>
      </c>
      <c r="B326" t="s">
        <v>3927</v>
      </c>
      <c r="C326" t="s">
        <v>74</v>
      </c>
      <c r="D326" t="s">
        <v>74</v>
      </c>
      <c r="E326" t="s">
        <v>74</v>
      </c>
      <c r="F326" t="s">
        <v>3927</v>
      </c>
      <c r="G326" t="s">
        <v>74</v>
      </c>
      <c r="H326" t="s">
        <v>74</v>
      </c>
      <c r="I326" t="s">
        <v>3928</v>
      </c>
      <c r="J326" t="s">
        <v>3929</v>
      </c>
      <c r="K326" t="s">
        <v>74</v>
      </c>
      <c r="L326" t="s">
        <v>74</v>
      </c>
      <c r="M326" t="s">
        <v>77</v>
      </c>
      <c r="N326" t="s">
        <v>379</v>
      </c>
      <c r="O326" t="s">
        <v>3930</v>
      </c>
      <c r="P326" t="s">
        <v>3931</v>
      </c>
      <c r="Q326" t="s">
        <v>3932</v>
      </c>
      <c r="R326" t="s">
        <v>74</v>
      </c>
      <c r="S326" t="s">
        <v>74</v>
      </c>
      <c r="T326" t="s">
        <v>74</v>
      </c>
      <c r="U326" t="s">
        <v>74</v>
      </c>
      <c r="V326" t="s">
        <v>74</v>
      </c>
      <c r="W326" t="s">
        <v>3933</v>
      </c>
      <c r="X326" t="s">
        <v>3934</v>
      </c>
      <c r="Y326" t="s">
        <v>3935</v>
      </c>
      <c r="Z326" t="s">
        <v>74</v>
      </c>
      <c r="AA326" t="s">
        <v>74</v>
      </c>
      <c r="AB326" t="s">
        <v>74</v>
      </c>
      <c r="AC326" t="s">
        <v>74</v>
      </c>
      <c r="AD326" t="s">
        <v>74</v>
      </c>
      <c r="AE326" t="s">
        <v>74</v>
      </c>
      <c r="AF326" t="s">
        <v>74</v>
      </c>
      <c r="AG326">
        <v>4</v>
      </c>
      <c r="AH326">
        <v>0</v>
      </c>
      <c r="AI326">
        <v>0</v>
      </c>
      <c r="AJ326">
        <v>0</v>
      </c>
      <c r="AK326">
        <v>0</v>
      </c>
      <c r="AL326" t="s">
        <v>3936</v>
      </c>
      <c r="AM326" t="s">
        <v>2497</v>
      </c>
      <c r="AN326" t="s">
        <v>3937</v>
      </c>
      <c r="AO326" t="s">
        <v>3938</v>
      </c>
      <c r="AP326" t="s">
        <v>74</v>
      </c>
      <c r="AQ326" t="s">
        <v>74</v>
      </c>
      <c r="AR326" t="s">
        <v>3939</v>
      </c>
      <c r="AS326" t="s">
        <v>3940</v>
      </c>
      <c r="AT326" t="s">
        <v>74</v>
      </c>
      <c r="AU326">
        <v>1998</v>
      </c>
      <c r="AV326">
        <v>52</v>
      </c>
      <c r="AW326" t="s">
        <v>74</v>
      </c>
      <c r="AX326" t="s">
        <v>74</v>
      </c>
      <c r="AY326" t="s">
        <v>74</v>
      </c>
      <c r="AZ326" t="s">
        <v>3941</v>
      </c>
      <c r="BA326" t="s">
        <v>74</v>
      </c>
      <c r="BB326">
        <v>342</v>
      </c>
      <c r="BC326">
        <v>342</v>
      </c>
      <c r="BD326" t="s">
        <v>74</v>
      </c>
      <c r="BE326" t="s">
        <v>74</v>
      </c>
      <c r="BF326" t="s">
        <v>74</v>
      </c>
      <c r="BG326" t="s">
        <v>74</v>
      </c>
      <c r="BH326" t="s">
        <v>74</v>
      </c>
      <c r="BI326">
        <v>1</v>
      </c>
      <c r="BJ326" t="s">
        <v>3942</v>
      </c>
      <c r="BK326" t="s">
        <v>3943</v>
      </c>
      <c r="BL326" t="s">
        <v>398</v>
      </c>
      <c r="BM326" t="s">
        <v>3944</v>
      </c>
      <c r="BN326" t="s">
        <v>74</v>
      </c>
      <c r="BO326" t="s">
        <v>74</v>
      </c>
      <c r="BP326" t="s">
        <v>74</v>
      </c>
      <c r="BQ326" t="s">
        <v>74</v>
      </c>
      <c r="BR326" t="s">
        <v>101</v>
      </c>
      <c r="BS326" t="s">
        <v>3945</v>
      </c>
      <c r="BT326" t="str">
        <f>HYPERLINK("https%3A%2F%2Fwww.webofscience.com%2Fwos%2Fwoscc%2Ffull-record%2FWOS:000076671700084","View Full Record in Web of Science")</f>
        <v>View Full Record in Web of Science</v>
      </c>
    </row>
    <row r="327" spans="1:72" x14ac:dyDescent="0.15">
      <c r="A327" t="s">
        <v>72</v>
      </c>
      <c r="B327" t="s">
        <v>3946</v>
      </c>
      <c r="C327" t="s">
        <v>74</v>
      </c>
      <c r="D327" t="s">
        <v>74</v>
      </c>
      <c r="E327" t="s">
        <v>74</v>
      </c>
      <c r="F327" t="s">
        <v>3946</v>
      </c>
      <c r="G327" t="s">
        <v>74</v>
      </c>
      <c r="H327" t="s">
        <v>74</v>
      </c>
      <c r="I327" t="s">
        <v>3947</v>
      </c>
      <c r="J327" t="s">
        <v>3948</v>
      </c>
      <c r="K327" t="s">
        <v>74</v>
      </c>
      <c r="L327" t="s">
        <v>74</v>
      </c>
      <c r="M327" t="s">
        <v>77</v>
      </c>
      <c r="N327" t="s">
        <v>78</v>
      </c>
      <c r="O327" t="s">
        <v>74</v>
      </c>
      <c r="P327" t="s">
        <v>74</v>
      </c>
      <c r="Q327" t="s">
        <v>74</v>
      </c>
      <c r="R327" t="s">
        <v>74</v>
      </c>
      <c r="S327" t="s">
        <v>74</v>
      </c>
      <c r="T327" t="s">
        <v>74</v>
      </c>
      <c r="U327" t="s">
        <v>3949</v>
      </c>
      <c r="V327" t="s">
        <v>3950</v>
      </c>
      <c r="W327" t="s">
        <v>3951</v>
      </c>
      <c r="X327" t="s">
        <v>3952</v>
      </c>
      <c r="Y327" t="s">
        <v>3953</v>
      </c>
      <c r="Z327" t="s">
        <v>74</v>
      </c>
      <c r="AA327" t="s">
        <v>3954</v>
      </c>
      <c r="AB327" t="s">
        <v>3955</v>
      </c>
      <c r="AC327" t="s">
        <v>74</v>
      </c>
      <c r="AD327" t="s">
        <v>74</v>
      </c>
      <c r="AE327" t="s">
        <v>74</v>
      </c>
      <c r="AF327" t="s">
        <v>74</v>
      </c>
      <c r="AG327">
        <v>29</v>
      </c>
      <c r="AH327">
        <v>3</v>
      </c>
      <c r="AI327">
        <v>3</v>
      </c>
      <c r="AJ327">
        <v>0</v>
      </c>
      <c r="AK327">
        <v>1</v>
      </c>
      <c r="AL327" t="s">
        <v>3956</v>
      </c>
      <c r="AM327" t="s">
        <v>3957</v>
      </c>
      <c r="AN327" t="s">
        <v>3958</v>
      </c>
      <c r="AO327" t="s">
        <v>3959</v>
      </c>
      <c r="AP327" t="s">
        <v>74</v>
      </c>
      <c r="AQ327" t="s">
        <v>74</v>
      </c>
      <c r="AR327" t="s">
        <v>3960</v>
      </c>
      <c r="AS327" t="s">
        <v>3961</v>
      </c>
      <c r="AT327" t="s">
        <v>74</v>
      </c>
      <c r="AU327">
        <v>1998</v>
      </c>
      <c r="AV327">
        <v>17</v>
      </c>
      <c r="AW327">
        <v>3</v>
      </c>
      <c r="AX327" t="s">
        <v>74</v>
      </c>
      <c r="AY327" t="s">
        <v>74</v>
      </c>
      <c r="AZ327" t="s">
        <v>74</v>
      </c>
      <c r="BA327" t="s">
        <v>74</v>
      </c>
      <c r="BB327">
        <v>543</v>
      </c>
      <c r="BC327">
        <v>559</v>
      </c>
      <c r="BD327" t="s">
        <v>74</v>
      </c>
      <c r="BE327" t="s">
        <v>74</v>
      </c>
      <c r="BF327" t="s">
        <v>74</v>
      </c>
      <c r="BG327" t="s">
        <v>74</v>
      </c>
      <c r="BH327" t="s">
        <v>74</v>
      </c>
      <c r="BI327">
        <v>17</v>
      </c>
      <c r="BJ327" t="s">
        <v>3962</v>
      </c>
      <c r="BK327" t="s">
        <v>98</v>
      </c>
      <c r="BL327" t="s">
        <v>3963</v>
      </c>
      <c r="BM327" t="s">
        <v>3964</v>
      </c>
      <c r="BN327" t="s">
        <v>74</v>
      </c>
      <c r="BO327" t="s">
        <v>74</v>
      </c>
      <c r="BP327" t="s">
        <v>74</v>
      </c>
      <c r="BQ327" t="s">
        <v>74</v>
      </c>
      <c r="BR327" t="s">
        <v>101</v>
      </c>
      <c r="BS327" t="s">
        <v>3965</v>
      </c>
      <c r="BT327" t="str">
        <f>HYPERLINK("https%3A%2F%2Fwww.webofscience.com%2Fwos%2Fwoscc%2Ffull-record%2FWOS:000084102000013","View Full Record in Web of Science")</f>
        <v>View Full Record in Web of Science</v>
      </c>
    </row>
    <row r="328" spans="1:72" x14ac:dyDescent="0.15">
      <c r="A328" t="s">
        <v>1540</v>
      </c>
      <c r="B328" t="s">
        <v>3966</v>
      </c>
      <c r="C328" t="s">
        <v>74</v>
      </c>
      <c r="D328" t="s">
        <v>3967</v>
      </c>
      <c r="E328" t="s">
        <v>74</v>
      </c>
      <c r="F328" t="s">
        <v>3966</v>
      </c>
      <c r="G328" t="s">
        <v>74</v>
      </c>
      <c r="H328" t="s">
        <v>74</v>
      </c>
      <c r="I328" t="s">
        <v>3968</v>
      </c>
      <c r="J328" t="s">
        <v>3969</v>
      </c>
      <c r="K328" t="s">
        <v>2544</v>
      </c>
      <c r="L328" t="s">
        <v>74</v>
      </c>
      <c r="M328" t="s">
        <v>77</v>
      </c>
      <c r="N328" t="s">
        <v>379</v>
      </c>
      <c r="O328" t="s">
        <v>3970</v>
      </c>
      <c r="P328" t="s">
        <v>2522</v>
      </c>
      <c r="Q328" t="s">
        <v>2523</v>
      </c>
      <c r="R328" t="s">
        <v>74</v>
      </c>
      <c r="S328" t="s">
        <v>74</v>
      </c>
      <c r="T328" t="s">
        <v>74</v>
      </c>
      <c r="U328" t="s">
        <v>3971</v>
      </c>
      <c r="V328" t="s">
        <v>3972</v>
      </c>
      <c r="W328" t="s">
        <v>3973</v>
      </c>
      <c r="X328" t="s">
        <v>3974</v>
      </c>
      <c r="Y328" t="s">
        <v>3975</v>
      </c>
      <c r="Z328" t="s">
        <v>74</v>
      </c>
      <c r="AA328" t="s">
        <v>74</v>
      </c>
      <c r="AB328" t="s">
        <v>74</v>
      </c>
      <c r="AC328" t="s">
        <v>74</v>
      </c>
      <c r="AD328" t="s">
        <v>74</v>
      </c>
      <c r="AE328" t="s">
        <v>74</v>
      </c>
      <c r="AF328" t="s">
        <v>74</v>
      </c>
      <c r="AG328">
        <v>25</v>
      </c>
      <c r="AH328">
        <v>2</v>
      </c>
      <c r="AI328">
        <v>2</v>
      </c>
      <c r="AJ328">
        <v>1</v>
      </c>
      <c r="AK328">
        <v>1</v>
      </c>
      <c r="AL328" t="s">
        <v>2530</v>
      </c>
      <c r="AM328" t="s">
        <v>214</v>
      </c>
      <c r="AN328" t="s">
        <v>2531</v>
      </c>
      <c r="AO328" t="s">
        <v>2532</v>
      </c>
      <c r="AP328" t="s">
        <v>74</v>
      </c>
      <c r="AQ328" t="s">
        <v>3976</v>
      </c>
      <c r="AR328" t="s">
        <v>2552</v>
      </c>
      <c r="AS328" t="s">
        <v>74</v>
      </c>
      <c r="AT328" t="s">
        <v>74</v>
      </c>
      <c r="AU328">
        <v>1998</v>
      </c>
      <c r="AV328">
        <v>21</v>
      </c>
      <c r="AW328">
        <v>10</v>
      </c>
      <c r="AX328" t="s">
        <v>74</v>
      </c>
      <c r="AY328" t="s">
        <v>74</v>
      </c>
      <c r="AZ328" t="s">
        <v>74</v>
      </c>
      <c r="BA328" t="s">
        <v>74</v>
      </c>
      <c r="BB328">
        <v>1393</v>
      </c>
      <c r="BC328">
        <v>1402</v>
      </c>
      <c r="BD328" t="s">
        <v>74</v>
      </c>
      <c r="BE328" t="s">
        <v>3977</v>
      </c>
      <c r="BF328" t="str">
        <f>HYPERLINK("http://dx.doi.org/10.1016/S0273-1177(97)00747-3","http://dx.doi.org/10.1016/S0273-1177(97)00747-3")</f>
        <v>http://dx.doi.org/10.1016/S0273-1177(97)00747-3</v>
      </c>
      <c r="BG328" t="s">
        <v>74</v>
      </c>
      <c r="BH328" t="s">
        <v>74</v>
      </c>
      <c r="BI328">
        <v>10</v>
      </c>
      <c r="BJ328" t="s">
        <v>2536</v>
      </c>
      <c r="BK328" t="s">
        <v>397</v>
      </c>
      <c r="BL328" t="s">
        <v>2537</v>
      </c>
      <c r="BM328" t="s">
        <v>3978</v>
      </c>
      <c r="BN328" t="s">
        <v>74</v>
      </c>
      <c r="BO328" t="s">
        <v>74</v>
      </c>
      <c r="BP328" t="s">
        <v>74</v>
      </c>
      <c r="BQ328" t="s">
        <v>74</v>
      </c>
      <c r="BR328" t="s">
        <v>101</v>
      </c>
      <c r="BS328" t="s">
        <v>3979</v>
      </c>
      <c r="BT328" t="str">
        <f>HYPERLINK("https%3A%2F%2Fwww.webofscience.com%2Fwos%2Fwoscc%2Ffull-record%2FWOS:000074437400005","View Full Record in Web of Science")</f>
        <v>View Full Record in Web of Science</v>
      </c>
    </row>
    <row r="329" spans="1:72" x14ac:dyDescent="0.15">
      <c r="A329" t="s">
        <v>1540</v>
      </c>
      <c r="B329" t="s">
        <v>3980</v>
      </c>
      <c r="C329" t="s">
        <v>74</v>
      </c>
      <c r="D329" t="s">
        <v>3967</v>
      </c>
      <c r="E329" t="s">
        <v>74</v>
      </c>
      <c r="F329" t="s">
        <v>3980</v>
      </c>
      <c r="G329" t="s">
        <v>74</v>
      </c>
      <c r="H329" t="s">
        <v>74</v>
      </c>
      <c r="I329" t="s">
        <v>3981</v>
      </c>
      <c r="J329" t="s">
        <v>3969</v>
      </c>
      <c r="K329" t="s">
        <v>2544</v>
      </c>
      <c r="L329" t="s">
        <v>74</v>
      </c>
      <c r="M329" t="s">
        <v>77</v>
      </c>
      <c r="N329" t="s">
        <v>379</v>
      </c>
      <c r="O329" t="s">
        <v>3970</v>
      </c>
      <c r="P329" t="s">
        <v>2522</v>
      </c>
      <c r="Q329" t="s">
        <v>2523</v>
      </c>
      <c r="R329" t="s">
        <v>74</v>
      </c>
      <c r="S329" t="s">
        <v>74</v>
      </c>
      <c r="T329" t="s">
        <v>74</v>
      </c>
      <c r="U329" t="s">
        <v>3982</v>
      </c>
      <c r="V329" t="s">
        <v>3983</v>
      </c>
      <c r="W329" t="s">
        <v>3984</v>
      </c>
      <c r="X329" t="s">
        <v>3985</v>
      </c>
      <c r="Y329" t="s">
        <v>3986</v>
      </c>
      <c r="Z329" t="s">
        <v>74</v>
      </c>
      <c r="AA329" t="s">
        <v>74</v>
      </c>
      <c r="AB329" t="s">
        <v>74</v>
      </c>
      <c r="AC329" t="s">
        <v>74</v>
      </c>
      <c r="AD329" t="s">
        <v>74</v>
      </c>
      <c r="AE329" t="s">
        <v>74</v>
      </c>
      <c r="AF329" t="s">
        <v>74</v>
      </c>
      <c r="AG329">
        <v>9</v>
      </c>
      <c r="AH329">
        <v>1</v>
      </c>
      <c r="AI329">
        <v>2</v>
      </c>
      <c r="AJ329">
        <v>0</v>
      </c>
      <c r="AK329">
        <v>3</v>
      </c>
      <c r="AL329" t="s">
        <v>2530</v>
      </c>
      <c r="AM329" t="s">
        <v>214</v>
      </c>
      <c r="AN329" t="s">
        <v>2531</v>
      </c>
      <c r="AO329" t="s">
        <v>2532</v>
      </c>
      <c r="AP329" t="s">
        <v>74</v>
      </c>
      <c r="AQ329" t="s">
        <v>3976</v>
      </c>
      <c r="AR329" t="s">
        <v>2552</v>
      </c>
      <c r="AS329" t="s">
        <v>74</v>
      </c>
      <c r="AT329" t="s">
        <v>74</v>
      </c>
      <c r="AU329">
        <v>1998</v>
      </c>
      <c r="AV329">
        <v>21</v>
      </c>
      <c r="AW329">
        <v>10</v>
      </c>
      <c r="AX329" t="s">
        <v>74</v>
      </c>
      <c r="AY329" t="s">
        <v>74</v>
      </c>
      <c r="AZ329" t="s">
        <v>74</v>
      </c>
      <c r="BA329" t="s">
        <v>74</v>
      </c>
      <c r="BB329">
        <v>1403</v>
      </c>
      <c r="BC329">
        <v>1412</v>
      </c>
      <c r="BD329" t="s">
        <v>74</v>
      </c>
      <c r="BE329" t="s">
        <v>3987</v>
      </c>
      <c r="BF329" t="str">
        <f>HYPERLINK("http://dx.doi.org/10.1016/S0273-1177(97)00748-5","http://dx.doi.org/10.1016/S0273-1177(97)00748-5")</f>
        <v>http://dx.doi.org/10.1016/S0273-1177(97)00748-5</v>
      </c>
      <c r="BG329" t="s">
        <v>74</v>
      </c>
      <c r="BH329" t="s">
        <v>74</v>
      </c>
      <c r="BI329">
        <v>10</v>
      </c>
      <c r="BJ329" t="s">
        <v>2536</v>
      </c>
      <c r="BK329" t="s">
        <v>397</v>
      </c>
      <c r="BL329" t="s">
        <v>2537</v>
      </c>
      <c r="BM329" t="s">
        <v>3978</v>
      </c>
      <c r="BN329" t="s">
        <v>74</v>
      </c>
      <c r="BO329" t="s">
        <v>74</v>
      </c>
      <c r="BP329" t="s">
        <v>74</v>
      </c>
      <c r="BQ329" t="s">
        <v>74</v>
      </c>
      <c r="BR329" t="s">
        <v>101</v>
      </c>
      <c r="BS329" t="s">
        <v>3988</v>
      </c>
      <c r="BT329" t="str">
        <f>HYPERLINK("https%3A%2F%2Fwww.webofscience.com%2Fwos%2Fwoscc%2Ffull-record%2FWOS:000074437400006","View Full Record in Web of Science")</f>
        <v>View Full Record in Web of Science</v>
      </c>
    </row>
    <row r="330" spans="1:72" x14ac:dyDescent="0.15">
      <c r="A330" t="s">
        <v>72</v>
      </c>
      <c r="B330" t="s">
        <v>3989</v>
      </c>
      <c r="C330" t="s">
        <v>74</v>
      </c>
      <c r="D330" t="s">
        <v>74</v>
      </c>
      <c r="E330" t="s">
        <v>74</v>
      </c>
      <c r="F330" t="s">
        <v>3989</v>
      </c>
      <c r="G330" t="s">
        <v>74</v>
      </c>
      <c r="H330" t="s">
        <v>74</v>
      </c>
      <c r="I330" t="s">
        <v>3990</v>
      </c>
      <c r="J330" t="s">
        <v>1409</v>
      </c>
      <c r="K330" t="s">
        <v>74</v>
      </c>
      <c r="L330" t="s">
        <v>74</v>
      </c>
      <c r="M330" t="s">
        <v>77</v>
      </c>
      <c r="N330" t="s">
        <v>78</v>
      </c>
      <c r="O330" t="s">
        <v>74</v>
      </c>
      <c r="P330" t="s">
        <v>74</v>
      </c>
      <c r="Q330" t="s">
        <v>74</v>
      </c>
      <c r="R330" t="s">
        <v>74</v>
      </c>
      <c r="S330" t="s">
        <v>74</v>
      </c>
      <c r="T330" t="s">
        <v>74</v>
      </c>
      <c r="U330" t="s">
        <v>3991</v>
      </c>
      <c r="V330" t="s">
        <v>3992</v>
      </c>
      <c r="W330" t="s">
        <v>3386</v>
      </c>
      <c r="X330" t="s">
        <v>3387</v>
      </c>
      <c r="Y330" t="s">
        <v>3658</v>
      </c>
      <c r="Z330" t="s">
        <v>74</v>
      </c>
      <c r="AA330" t="s">
        <v>74</v>
      </c>
      <c r="AB330" t="s">
        <v>3404</v>
      </c>
      <c r="AC330" t="s">
        <v>74</v>
      </c>
      <c r="AD330" t="s">
        <v>74</v>
      </c>
      <c r="AE330" t="s">
        <v>74</v>
      </c>
      <c r="AF330" t="s">
        <v>74</v>
      </c>
      <c r="AG330">
        <v>26</v>
      </c>
      <c r="AH330">
        <v>18</v>
      </c>
      <c r="AI330">
        <v>18</v>
      </c>
      <c r="AJ330">
        <v>0</v>
      </c>
      <c r="AK330">
        <v>0</v>
      </c>
      <c r="AL330" t="s">
        <v>897</v>
      </c>
      <c r="AM330" t="s">
        <v>244</v>
      </c>
      <c r="AN330" t="s">
        <v>898</v>
      </c>
      <c r="AO330" t="s">
        <v>1417</v>
      </c>
      <c r="AP330" t="s">
        <v>74</v>
      </c>
      <c r="AQ330" t="s">
        <v>74</v>
      </c>
      <c r="AR330" t="s">
        <v>1418</v>
      </c>
      <c r="AS330" t="s">
        <v>1419</v>
      </c>
      <c r="AT330" t="s">
        <v>2502</v>
      </c>
      <c r="AU330">
        <v>1998</v>
      </c>
      <c r="AV330">
        <v>14</v>
      </c>
      <c r="AW330">
        <v>1</v>
      </c>
      <c r="AX330" t="s">
        <v>74</v>
      </c>
      <c r="AY330" t="s">
        <v>74</v>
      </c>
      <c r="AZ330" t="s">
        <v>74</v>
      </c>
      <c r="BA330" t="s">
        <v>74</v>
      </c>
      <c r="BB330">
        <v>45</v>
      </c>
      <c r="BC330">
        <v>53</v>
      </c>
      <c r="BD330" t="s">
        <v>74</v>
      </c>
      <c r="BE330" t="s">
        <v>74</v>
      </c>
      <c r="BF330" t="s">
        <v>74</v>
      </c>
      <c r="BG330" t="s">
        <v>74</v>
      </c>
      <c r="BH330" t="s">
        <v>74</v>
      </c>
      <c r="BI330">
        <v>9</v>
      </c>
      <c r="BJ330" t="s">
        <v>635</v>
      </c>
      <c r="BK330" t="s">
        <v>98</v>
      </c>
      <c r="BL330" t="s">
        <v>635</v>
      </c>
      <c r="BM330" t="s">
        <v>3993</v>
      </c>
      <c r="BN330" t="s">
        <v>74</v>
      </c>
      <c r="BO330" t="s">
        <v>74</v>
      </c>
      <c r="BP330" t="s">
        <v>74</v>
      </c>
      <c r="BQ330" t="s">
        <v>74</v>
      </c>
      <c r="BR330" t="s">
        <v>101</v>
      </c>
      <c r="BS330" t="s">
        <v>3994</v>
      </c>
      <c r="BT330" t="str">
        <f>HYPERLINK("https%3A%2F%2Fwww.webofscience.com%2Fwos%2Fwoscc%2Ffull-record%2FWOS:000072740800004","View Full Record in Web of Science")</f>
        <v>View Full Record in Web of Science</v>
      </c>
    </row>
    <row r="331" spans="1:72" x14ac:dyDescent="0.15">
      <c r="A331" t="s">
        <v>2175</v>
      </c>
      <c r="B331" t="s">
        <v>3995</v>
      </c>
      <c r="C331" t="s">
        <v>74</v>
      </c>
      <c r="D331" t="s">
        <v>3996</v>
      </c>
      <c r="E331" t="s">
        <v>74</v>
      </c>
      <c r="F331" t="s">
        <v>3995</v>
      </c>
      <c r="G331" t="s">
        <v>74</v>
      </c>
      <c r="H331" t="s">
        <v>74</v>
      </c>
      <c r="I331" t="s">
        <v>3997</v>
      </c>
      <c r="J331" t="s">
        <v>3998</v>
      </c>
      <c r="K331" t="s">
        <v>74</v>
      </c>
      <c r="L331" t="s">
        <v>74</v>
      </c>
      <c r="M331" t="s">
        <v>77</v>
      </c>
      <c r="N331" t="s">
        <v>2180</v>
      </c>
      <c r="O331" t="s">
        <v>3999</v>
      </c>
      <c r="P331" t="s">
        <v>4000</v>
      </c>
      <c r="Q331" t="s">
        <v>4001</v>
      </c>
      <c r="R331" t="s">
        <v>74</v>
      </c>
      <c r="S331" t="s">
        <v>74</v>
      </c>
      <c r="T331" t="s">
        <v>74</v>
      </c>
      <c r="U331" t="s">
        <v>74</v>
      </c>
      <c r="V331" t="s">
        <v>4002</v>
      </c>
      <c r="W331" t="s">
        <v>4003</v>
      </c>
      <c r="X331" t="s">
        <v>74</v>
      </c>
      <c r="Y331" t="s">
        <v>4004</v>
      </c>
      <c r="Z331" t="s">
        <v>74</v>
      </c>
      <c r="AA331" t="s">
        <v>74</v>
      </c>
      <c r="AB331" t="s">
        <v>74</v>
      </c>
      <c r="AC331" t="s">
        <v>74</v>
      </c>
      <c r="AD331" t="s">
        <v>74</v>
      </c>
      <c r="AE331" t="s">
        <v>74</v>
      </c>
      <c r="AF331" t="s">
        <v>74</v>
      </c>
      <c r="AG331">
        <v>3</v>
      </c>
      <c r="AH331">
        <v>0</v>
      </c>
      <c r="AI331">
        <v>0</v>
      </c>
      <c r="AJ331">
        <v>0</v>
      </c>
      <c r="AK331">
        <v>0</v>
      </c>
      <c r="AL331" t="s">
        <v>4005</v>
      </c>
      <c r="AM331" t="s">
        <v>244</v>
      </c>
      <c r="AN331" t="s">
        <v>4006</v>
      </c>
      <c r="AO331" t="s">
        <v>74</v>
      </c>
      <c r="AP331" t="s">
        <v>74</v>
      </c>
      <c r="AQ331" t="s">
        <v>4007</v>
      </c>
      <c r="AR331" t="s">
        <v>74</v>
      </c>
      <c r="AS331" t="s">
        <v>74</v>
      </c>
      <c r="AT331" t="s">
        <v>74</v>
      </c>
      <c r="AU331">
        <v>1998</v>
      </c>
      <c r="AV331" t="s">
        <v>74</v>
      </c>
      <c r="AW331" t="s">
        <v>74</v>
      </c>
      <c r="AX331" t="s">
        <v>74</v>
      </c>
      <c r="AY331" t="s">
        <v>74</v>
      </c>
      <c r="AZ331" t="s">
        <v>74</v>
      </c>
      <c r="BA331" t="s">
        <v>74</v>
      </c>
      <c r="BB331">
        <v>548</v>
      </c>
      <c r="BC331">
        <v>557</v>
      </c>
      <c r="BD331" t="s">
        <v>74</v>
      </c>
      <c r="BE331" t="s">
        <v>74</v>
      </c>
      <c r="BF331" t="s">
        <v>74</v>
      </c>
      <c r="BG331" t="s">
        <v>74</v>
      </c>
      <c r="BH331" t="s">
        <v>74</v>
      </c>
      <c r="BI331">
        <v>4</v>
      </c>
      <c r="BJ331" t="s">
        <v>4008</v>
      </c>
      <c r="BK331" t="s">
        <v>2189</v>
      </c>
      <c r="BL331" t="s">
        <v>4009</v>
      </c>
      <c r="BM331" t="s">
        <v>4010</v>
      </c>
      <c r="BN331" t="s">
        <v>74</v>
      </c>
      <c r="BO331" t="s">
        <v>74</v>
      </c>
      <c r="BP331" t="s">
        <v>74</v>
      </c>
      <c r="BQ331" t="s">
        <v>74</v>
      </c>
      <c r="BR331" t="s">
        <v>101</v>
      </c>
      <c r="BS331" t="s">
        <v>4011</v>
      </c>
      <c r="BT331" t="str">
        <f>HYPERLINK("https%3A%2F%2Fwww.webofscience.com%2Fwos%2Fwoscc%2Ffull-record%2FWOS:000081048500051","View Full Record in Web of Science")</f>
        <v>View Full Record in Web of Science</v>
      </c>
    </row>
    <row r="332" spans="1:72" x14ac:dyDescent="0.15">
      <c r="A332" t="s">
        <v>72</v>
      </c>
      <c r="B332" t="s">
        <v>4012</v>
      </c>
      <c r="C332" t="s">
        <v>74</v>
      </c>
      <c r="D332" t="s">
        <v>74</v>
      </c>
      <c r="E332" t="s">
        <v>74</v>
      </c>
      <c r="F332" t="s">
        <v>4012</v>
      </c>
      <c r="G332" t="s">
        <v>74</v>
      </c>
      <c r="H332" t="s">
        <v>74</v>
      </c>
      <c r="I332" t="s">
        <v>4013</v>
      </c>
      <c r="J332" t="s">
        <v>4014</v>
      </c>
      <c r="K332" t="s">
        <v>74</v>
      </c>
      <c r="L332" t="s">
        <v>74</v>
      </c>
      <c r="M332" t="s">
        <v>77</v>
      </c>
      <c r="N332" t="s">
        <v>78</v>
      </c>
      <c r="O332" t="s">
        <v>74</v>
      </c>
      <c r="P332" t="s">
        <v>74</v>
      </c>
      <c r="Q332" t="s">
        <v>74</v>
      </c>
      <c r="R332" t="s">
        <v>74</v>
      </c>
      <c r="S332" t="s">
        <v>74</v>
      </c>
      <c r="T332" t="s">
        <v>4015</v>
      </c>
      <c r="U332" t="s">
        <v>4016</v>
      </c>
      <c r="V332" t="s">
        <v>4017</v>
      </c>
      <c r="W332" t="s">
        <v>4018</v>
      </c>
      <c r="X332" t="s">
        <v>3108</v>
      </c>
      <c r="Y332" t="s">
        <v>4019</v>
      </c>
      <c r="Z332" t="s">
        <v>4020</v>
      </c>
      <c r="AA332" t="s">
        <v>4021</v>
      </c>
      <c r="AB332" t="s">
        <v>4022</v>
      </c>
      <c r="AC332" t="s">
        <v>74</v>
      </c>
      <c r="AD332" t="s">
        <v>74</v>
      </c>
      <c r="AE332" t="s">
        <v>74</v>
      </c>
      <c r="AF332" t="s">
        <v>74</v>
      </c>
      <c r="AG332">
        <v>37</v>
      </c>
      <c r="AH332">
        <v>62</v>
      </c>
      <c r="AI332">
        <v>67</v>
      </c>
      <c r="AJ332">
        <v>0</v>
      </c>
      <c r="AK332">
        <v>26</v>
      </c>
      <c r="AL332" t="s">
        <v>4023</v>
      </c>
      <c r="AM332" t="s">
        <v>88</v>
      </c>
      <c r="AN332" t="s">
        <v>4024</v>
      </c>
      <c r="AO332" t="s">
        <v>4025</v>
      </c>
      <c r="AP332" t="s">
        <v>74</v>
      </c>
      <c r="AQ332" t="s">
        <v>74</v>
      </c>
      <c r="AR332" t="s">
        <v>4026</v>
      </c>
      <c r="AS332" t="s">
        <v>4027</v>
      </c>
      <c r="AT332" t="s">
        <v>74</v>
      </c>
      <c r="AU332">
        <v>1998</v>
      </c>
      <c r="AV332">
        <v>21</v>
      </c>
      <c r="AW332">
        <v>2</v>
      </c>
      <c r="AX332" t="s">
        <v>74</v>
      </c>
      <c r="AY332" t="s">
        <v>74</v>
      </c>
      <c r="AZ332" t="s">
        <v>74</v>
      </c>
      <c r="BA332" t="s">
        <v>74</v>
      </c>
      <c r="BB332">
        <v>222</v>
      </c>
      <c r="BC332">
        <v>228</v>
      </c>
      <c r="BD332" t="s">
        <v>74</v>
      </c>
      <c r="BE332" t="s">
        <v>4028</v>
      </c>
      <c r="BF332" t="str">
        <f>HYPERLINK("http://dx.doi.org/10.2307/1521909","http://dx.doi.org/10.2307/1521909")</f>
        <v>http://dx.doi.org/10.2307/1521909</v>
      </c>
      <c r="BG332" t="s">
        <v>74</v>
      </c>
      <c r="BH332" t="s">
        <v>74</v>
      </c>
      <c r="BI332">
        <v>7</v>
      </c>
      <c r="BJ332" t="s">
        <v>4029</v>
      </c>
      <c r="BK332" t="s">
        <v>98</v>
      </c>
      <c r="BL332" t="s">
        <v>4030</v>
      </c>
      <c r="BM332" t="s">
        <v>4031</v>
      </c>
      <c r="BN332" t="s">
        <v>74</v>
      </c>
      <c r="BO332" t="s">
        <v>74</v>
      </c>
      <c r="BP332" t="s">
        <v>74</v>
      </c>
      <c r="BQ332" t="s">
        <v>74</v>
      </c>
      <c r="BR332" t="s">
        <v>101</v>
      </c>
      <c r="BS332" t="s">
        <v>4032</v>
      </c>
      <c r="BT332" t="str">
        <f>HYPERLINK("https%3A%2F%2Fwww.webofscience.com%2Fwos%2Fwoscc%2Ffull-record%2FWOS:000078143800011","View Full Record in Web of Science")</f>
        <v>View Full Record in Web of Science</v>
      </c>
    </row>
    <row r="333" spans="1:72" x14ac:dyDescent="0.15">
      <c r="A333" t="s">
        <v>72</v>
      </c>
      <c r="B333" t="s">
        <v>4033</v>
      </c>
      <c r="C333" t="s">
        <v>74</v>
      </c>
      <c r="D333" t="s">
        <v>74</v>
      </c>
      <c r="E333" t="s">
        <v>74</v>
      </c>
      <c r="F333" t="s">
        <v>4033</v>
      </c>
      <c r="G333" t="s">
        <v>74</v>
      </c>
      <c r="H333" t="s">
        <v>74</v>
      </c>
      <c r="I333" t="s">
        <v>4034</v>
      </c>
      <c r="J333" t="s">
        <v>4035</v>
      </c>
      <c r="K333" t="s">
        <v>74</v>
      </c>
      <c r="L333" t="s">
        <v>74</v>
      </c>
      <c r="M333" t="s">
        <v>77</v>
      </c>
      <c r="N333" t="s">
        <v>379</v>
      </c>
      <c r="O333" t="s">
        <v>4036</v>
      </c>
      <c r="P333" t="s">
        <v>4037</v>
      </c>
      <c r="Q333" t="s">
        <v>4038</v>
      </c>
      <c r="R333" t="s">
        <v>74</v>
      </c>
      <c r="S333" t="s">
        <v>4039</v>
      </c>
      <c r="T333" t="s">
        <v>4040</v>
      </c>
      <c r="U333" t="s">
        <v>4041</v>
      </c>
      <c r="V333" t="s">
        <v>4042</v>
      </c>
      <c r="W333" t="s">
        <v>4043</v>
      </c>
      <c r="X333" t="s">
        <v>4044</v>
      </c>
      <c r="Y333" t="s">
        <v>4045</v>
      </c>
      <c r="Z333" t="s">
        <v>4046</v>
      </c>
      <c r="AA333" t="s">
        <v>74</v>
      </c>
      <c r="AB333" t="s">
        <v>74</v>
      </c>
      <c r="AC333" t="s">
        <v>74</v>
      </c>
      <c r="AD333" t="s">
        <v>74</v>
      </c>
      <c r="AE333" t="s">
        <v>74</v>
      </c>
      <c r="AF333" t="s">
        <v>74</v>
      </c>
      <c r="AG333">
        <v>69</v>
      </c>
      <c r="AH333">
        <v>2</v>
      </c>
      <c r="AI333">
        <v>2</v>
      </c>
      <c r="AJ333">
        <v>0</v>
      </c>
      <c r="AK333">
        <v>17</v>
      </c>
      <c r="AL333" t="s">
        <v>4047</v>
      </c>
      <c r="AM333" t="s">
        <v>244</v>
      </c>
      <c r="AN333" t="s">
        <v>4048</v>
      </c>
      <c r="AO333" t="s">
        <v>4049</v>
      </c>
      <c r="AP333" t="s">
        <v>4050</v>
      </c>
      <c r="AQ333" t="s">
        <v>74</v>
      </c>
      <c r="AR333" t="s">
        <v>4051</v>
      </c>
      <c r="AS333" t="s">
        <v>4052</v>
      </c>
      <c r="AT333" t="s">
        <v>2502</v>
      </c>
      <c r="AU333">
        <v>1998</v>
      </c>
      <c r="AV333">
        <v>119</v>
      </c>
      <c r="AW333">
        <v>1</v>
      </c>
      <c r="AX333" t="s">
        <v>74</v>
      </c>
      <c r="AY333" t="s">
        <v>74</v>
      </c>
      <c r="AZ333" t="s">
        <v>74</v>
      </c>
      <c r="BA333" t="s">
        <v>74</v>
      </c>
      <c r="BB333">
        <v>149</v>
      </c>
      <c r="BC333">
        <v>163</v>
      </c>
      <c r="BD333" t="s">
        <v>74</v>
      </c>
      <c r="BE333" t="s">
        <v>4053</v>
      </c>
      <c r="BF333" t="str">
        <f>HYPERLINK("http://dx.doi.org/10.1016/S1095-6433(97)00396-6","http://dx.doi.org/10.1016/S1095-6433(97)00396-6")</f>
        <v>http://dx.doi.org/10.1016/S1095-6433(97)00396-6</v>
      </c>
      <c r="BG333" t="s">
        <v>74</v>
      </c>
      <c r="BH333" t="s">
        <v>74</v>
      </c>
      <c r="BI333">
        <v>15</v>
      </c>
      <c r="BJ333" t="s">
        <v>4054</v>
      </c>
      <c r="BK333" t="s">
        <v>3943</v>
      </c>
      <c r="BL333" t="s">
        <v>4054</v>
      </c>
      <c r="BM333" t="s">
        <v>4055</v>
      </c>
      <c r="BN333">
        <v>11253779</v>
      </c>
      <c r="BO333" t="s">
        <v>74</v>
      </c>
      <c r="BP333" t="s">
        <v>74</v>
      </c>
      <c r="BQ333" t="s">
        <v>74</v>
      </c>
      <c r="BR333" t="s">
        <v>101</v>
      </c>
      <c r="BS333" t="s">
        <v>4056</v>
      </c>
      <c r="BT333" t="str">
        <f>HYPERLINK("https%3A%2F%2Fwww.webofscience.com%2Fwos%2Fwoscc%2Ffull-record%2FWOS:000074756400018","View Full Record in Web of Science")</f>
        <v>View Full Record in Web of Science</v>
      </c>
    </row>
    <row r="334" spans="1:72" x14ac:dyDescent="0.15">
      <c r="A334" t="s">
        <v>2175</v>
      </c>
      <c r="B334" t="s">
        <v>4057</v>
      </c>
      <c r="C334" t="s">
        <v>74</v>
      </c>
      <c r="D334" t="s">
        <v>74</v>
      </c>
      <c r="E334" t="s">
        <v>4058</v>
      </c>
      <c r="F334" t="s">
        <v>4057</v>
      </c>
      <c r="G334" t="s">
        <v>74</v>
      </c>
      <c r="H334" t="s">
        <v>74</v>
      </c>
      <c r="I334" t="s">
        <v>4059</v>
      </c>
      <c r="J334" t="s">
        <v>4060</v>
      </c>
      <c r="K334" t="s">
        <v>74</v>
      </c>
      <c r="L334" t="s">
        <v>74</v>
      </c>
      <c r="M334" t="s">
        <v>77</v>
      </c>
      <c r="N334" t="s">
        <v>2180</v>
      </c>
      <c r="O334" t="s">
        <v>4061</v>
      </c>
      <c r="P334" t="s">
        <v>4062</v>
      </c>
      <c r="Q334" t="s">
        <v>4063</v>
      </c>
      <c r="R334" t="s">
        <v>74</v>
      </c>
      <c r="S334" t="s">
        <v>74</v>
      </c>
      <c r="T334" t="s">
        <v>74</v>
      </c>
      <c r="U334" t="s">
        <v>74</v>
      </c>
      <c r="V334" t="s">
        <v>74</v>
      </c>
      <c r="W334" t="s">
        <v>4064</v>
      </c>
      <c r="X334" t="s">
        <v>4065</v>
      </c>
      <c r="Y334" t="s">
        <v>4066</v>
      </c>
      <c r="Z334" t="s">
        <v>74</v>
      </c>
      <c r="AA334" t="s">
        <v>74</v>
      </c>
      <c r="AB334" t="s">
        <v>74</v>
      </c>
      <c r="AC334" t="s">
        <v>74</v>
      </c>
      <c r="AD334" t="s">
        <v>74</v>
      </c>
      <c r="AE334" t="s">
        <v>74</v>
      </c>
      <c r="AF334" t="s">
        <v>74</v>
      </c>
      <c r="AG334">
        <v>3</v>
      </c>
      <c r="AH334">
        <v>1</v>
      </c>
      <c r="AI334">
        <v>1</v>
      </c>
      <c r="AJ334">
        <v>0</v>
      </c>
      <c r="AK334">
        <v>0</v>
      </c>
      <c r="AL334" t="s">
        <v>4067</v>
      </c>
      <c r="AM334" t="s">
        <v>628</v>
      </c>
      <c r="AN334" t="s">
        <v>4068</v>
      </c>
      <c r="AO334" t="s">
        <v>74</v>
      </c>
      <c r="AP334" t="s">
        <v>74</v>
      </c>
      <c r="AQ334" t="s">
        <v>74</v>
      </c>
      <c r="AR334" t="s">
        <v>74</v>
      </c>
      <c r="AS334" t="s">
        <v>74</v>
      </c>
      <c r="AT334" t="s">
        <v>74</v>
      </c>
      <c r="AU334">
        <v>1998</v>
      </c>
      <c r="AV334" t="s">
        <v>74</v>
      </c>
      <c r="AW334" t="s">
        <v>74</v>
      </c>
      <c r="AX334" t="s">
        <v>74</v>
      </c>
      <c r="AY334" t="s">
        <v>74</v>
      </c>
      <c r="AZ334" t="s">
        <v>74</v>
      </c>
      <c r="BA334" t="s">
        <v>74</v>
      </c>
      <c r="BB334">
        <v>136</v>
      </c>
      <c r="BC334">
        <v>139</v>
      </c>
      <c r="BD334" t="s">
        <v>74</v>
      </c>
      <c r="BE334" t="s">
        <v>74</v>
      </c>
      <c r="BF334" t="s">
        <v>74</v>
      </c>
      <c r="BG334" t="s">
        <v>74</v>
      </c>
      <c r="BH334" t="s">
        <v>74</v>
      </c>
      <c r="BI334">
        <v>4</v>
      </c>
      <c r="BJ334" t="s">
        <v>635</v>
      </c>
      <c r="BK334" t="s">
        <v>2189</v>
      </c>
      <c r="BL334" t="s">
        <v>635</v>
      </c>
      <c r="BM334" t="s">
        <v>4069</v>
      </c>
      <c r="BN334" t="s">
        <v>74</v>
      </c>
      <c r="BO334" t="s">
        <v>74</v>
      </c>
      <c r="BP334" t="s">
        <v>74</v>
      </c>
      <c r="BQ334" t="s">
        <v>74</v>
      </c>
      <c r="BR334" t="s">
        <v>101</v>
      </c>
      <c r="BS334" t="s">
        <v>4070</v>
      </c>
      <c r="BT334" t="str">
        <f>HYPERLINK("https%3A%2F%2Fwww.webofscience.com%2Fwos%2Fwoscc%2Ffull-record%2FWOS:000079027100040","View Full Record in Web of Science")</f>
        <v>View Full Record in Web of Science</v>
      </c>
    </row>
    <row r="335" spans="1:72" x14ac:dyDescent="0.15">
      <c r="A335" t="s">
        <v>72</v>
      </c>
      <c r="B335" t="s">
        <v>4071</v>
      </c>
      <c r="C335" t="s">
        <v>74</v>
      </c>
      <c r="D335" t="s">
        <v>74</v>
      </c>
      <c r="E335" t="s">
        <v>74</v>
      </c>
      <c r="F335" t="s">
        <v>4071</v>
      </c>
      <c r="G335" t="s">
        <v>74</v>
      </c>
      <c r="H335" t="s">
        <v>74</v>
      </c>
      <c r="I335" t="s">
        <v>4072</v>
      </c>
      <c r="J335" t="s">
        <v>4073</v>
      </c>
      <c r="K335" t="s">
        <v>74</v>
      </c>
      <c r="L335" t="s">
        <v>74</v>
      </c>
      <c r="M335" t="s">
        <v>77</v>
      </c>
      <c r="N335" t="s">
        <v>78</v>
      </c>
      <c r="O335" t="s">
        <v>74</v>
      </c>
      <c r="P335" t="s">
        <v>74</v>
      </c>
      <c r="Q335" t="s">
        <v>74</v>
      </c>
      <c r="R335" t="s">
        <v>74</v>
      </c>
      <c r="S335" t="s">
        <v>74</v>
      </c>
      <c r="T335" t="s">
        <v>4074</v>
      </c>
      <c r="U335" t="s">
        <v>4075</v>
      </c>
      <c r="V335" t="s">
        <v>4076</v>
      </c>
      <c r="W335" t="s">
        <v>4077</v>
      </c>
      <c r="X335" t="s">
        <v>4078</v>
      </c>
      <c r="Y335" t="s">
        <v>4079</v>
      </c>
      <c r="Z335" t="s">
        <v>74</v>
      </c>
      <c r="AA335" t="s">
        <v>74</v>
      </c>
      <c r="AB335" t="s">
        <v>4080</v>
      </c>
      <c r="AC335" t="s">
        <v>74</v>
      </c>
      <c r="AD335" t="s">
        <v>74</v>
      </c>
      <c r="AE335" t="s">
        <v>74</v>
      </c>
      <c r="AF335" t="s">
        <v>74</v>
      </c>
      <c r="AG335">
        <v>21</v>
      </c>
      <c r="AH335">
        <v>14</v>
      </c>
      <c r="AI335">
        <v>15</v>
      </c>
      <c r="AJ335">
        <v>0</v>
      </c>
      <c r="AK335">
        <v>2</v>
      </c>
      <c r="AL335" t="s">
        <v>4081</v>
      </c>
      <c r="AM335" t="s">
        <v>4082</v>
      </c>
      <c r="AN335" t="s">
        <v>4083</v>
      </c>
      <c r="AO335" t="s">
        <v>4084</v>
      </c>
      <c r="AP335" t="s">
        <v>74</v>
      </c>
      <c r="AQ335" t="s">
        <v>74</v>
      </c>
      <c r="AR335" t="s">
        <v>4073</v>
      </c>
      <c r="AS335" t="s">
        <v>4085</v>
      </c>
      <c r="AT335" t="s">
        <v>74</v>
      </c>
      <c r="AU335">
        <v>1998</v>
      </c>
      <c r="AV335">
        <v>22</v>
      </c>
      <c r="AW335">
        <v>1</v>
      </c>
      <c r="AX335" t="s">
        <v>74</v>
      </c>
      <c r="AY335" t="s">
        <v>74</v>
      </c>
      <c r="AZ335" t="s">
        <v>74</v>
      </c>
      <c r="BA335" t="s">
        <v>74</v>
      </c>
      <c r="BB335">
        <v>69</v>
      </c>
      <c r="BC335">
        <v>81</v>
      </c>
      <c r="BD335" t="s">
        <v>74</v>
      </c>
      <c r="BE335" t="s">
        <v>74</v>
      </c>
      <c r="BF335" t="s">
        <v>74</v>
      </c>
      <c r="BG335" t="s">
        <v>74</v>
      </c>
      <c r="BH335" t="s">
        <v>74</v>
      </c>
      <c r="BI335">
        <v>13</v>
      </c>
      <c r="BJ335" t="s">
        <v>417</v>
      </c>
      <c r="BK335" t="s">
        <v>98</v>
      </c>
      <c r="BL335" t="s">
        <v>417</v>
      </c>
      <c r="BM335" t="s">
        <v>4086</v>
      </c>
      <c r="BN335" t="s">
        <v>74</v>
      </c>
      <c r="BO335" t="s">
        <v>74</v>
      </c>
      <c r="BP335" t="s">
        <v>74</v>
      </c>
      <c r="BQ335" t="s">
        <v>74</v>
      </c>
      <c r="BR335" t="s">
        <v>101</v>
      </c>
      <c r="BS335" t="s">
        <v>4087</v>
      </c>
      <c r="BT335" t="str">
        <f>HYPERLINK("https%3A%2F%2Fwww.webofscience.com%2Fwos%2Fwoscc%2Ffull-record%2FWOS:000074020200009","View Full Record in Web of Science")</f>
        <v>View Full Record in Web of Science</v>
      </c>
    </row>
    <row r="336" spans="1:72" x14ac:dyDescent="0.15">
      <c r="A336" t="s">
        <v>72</v>
      </c>
      <c r="B336" t="s">
        <v>4088</v>
      </c>
      <c r="C336" t="s">
        <v>74</v>
      </c>
      <c r="D336" t="s">
        <v>74</v>
      </c>
      <c r="E336" t="s">
        <v>74</v>
      </c>
      <c r="F336" t="s">
        <v>4088</v>
      </c>
      <c r="G336" t="s">
        <v>74</v>
      </c>
      <c r="H336" t="s">
        <v>74</v>
      </c>
      <c r="I336" t="s">
        <v>4089</v>
      </c>
      <c r="J336" t="s">
        <v>4073</v>
      </c>
      <c r="K336" t="s">
        <v>74</v>
      </c>
      <c r="L336" t="s">
        <v>74</v>
      </c>
      <c r="M336" t="s">
        <v>77</v>
      </c>
      <c r="N336" t="s">
        <v>78</v>
      </c>
      <c r="O336" t="s">
        <v>74</v>
      </c>
      <c r="P336" t="s">
        <v>74</v>
      </c>
      <c r="Q336" t="s">
        <v>74</v>
      </c>
      <c r="R336" t="s">
        <v>74</v>
      </c>
      <c r="S336" t="s">
        <v>74</v>
      </c>
      <c r="T336" t="s">
        <v>4090</v>
      </c>
      <c r="U336" t="s">
        <v>74</v>
      </c>
      <c r="V336" t="s">
        <v>4091</v>
      </c>
      <c r="W336" t="s">
        <v>4092</v>
      </c>
      <c r="X336" t="s">
        <v>4093</v>
      </c>
      <c r="Y336" t="s">
        <v>4094</v>
      </c>
      <c r="Z336" t="s">
        <v>74</v>
      </c>
      <c r="AA336" t="s">
        <v>74</v>
      </c>
      <c r="AB336" t="s">
        <v>74</v>
      </c>
      <c r="AC336" t="s">
        <v>74</v>
      </c>
      <c r="AD336" t="s">
        <v>74</v>
      </c>
      <c r="AE336" t="s">
        <v>74</v>
      </c>
      <c r="AF336" t="s">
        <v>74</v>
      </c>
      <c r="AG336">
        <v>24</v>
      </c>
      <c r="AH336">
        <v>12</v>
      </c>
      <c r="AI336">
        <v>13</v>
      </c>
      <c r="AJ336">
        <v>0</v>
      </c>
      <c r="AK336">
        <v>1</v>
      </c>
      <c r="AL336" t="s">
        <v>4081</v>
      </c>
      <c r="AM336" t="s">
        <v>4082</v>
      </c>
      <c r="AN336" t="s">
        <v>4083</v>
      </c>
      <c r="AO336" t="s">
        <v>4084</v>
      </c>
      <c r="AP336" t="s">
        <v>74</v>
      </c>
      <c r="AQ336" t="s">
        <v>74</v>
      </c>
      <c r="AR336" t="s">
        <v>4073</v>
      </c>
      <c r="AS336" t="s">
        <v>4085</v>
      </c>
      <c r="AT336" t="s">
        <v>74</v>
      </c>
      <c r="AU336">
        <v>1998</v>
      </c>
      <c r="AV336">
        <v>22</v>
      </c>
      <c r="AW336">
        <v>3</v>
      </c>
      <c r="AX336" t="s">
        <v>74</v>
      </c>
      <c r="AY336" t="s">
        <v>74</v>
      </c>
      <c r="AZ336" t="s">
        <v>74</v>
      </c>
      <c r="BA336" t="s">
        <v>74</v>
      </c>
      <c r="BB336">
        <v>255</v>
      </c>
      <c r="BC336">
        <v>266</v>
      </c>
      <c r="BD336" t="s">
        <v>74</v>
      </c>
      <c r="BE336" t="s">
        <v>74</v>
      </c>
      <c r="BF336" t="s">
        <v>74</v>
      </c>
      <c r="BG336" t="s">
        <v>74</v>
      </c>
      <c r="BH336" t="s">
        <v>74</v>
      </c>
      <c r="BI336">
        <v>12</v>
      </c>
      <c r="BJ336" t="s">
        <v>417</v>
      </c>
      <c r="BK336" t="s">
        <v>98</v>
      </c>
      <c r="BL336" t="s">
        <v>417</v>
      </c>
      <c r="BM336" t="s">
        <v>4095</v>
      </c>
      <c r="BN336" t="s">
        <v>74</v>
      </c>
      <c r="BO336" t="s">
        <v>74</v>
      </c>
      <c r="BP336" t="s">
        <v>74</v>
      </c>
      <c r="BQ336" t="s">
        <v>74</v>
      </c>
      <c r="BR336" t="s">
        <v>101</v>
      </c>
      <c r="BS336" t="s">
        <v>4096</v>
      </c>
      <c r="BT336" t="str">
        <f>HYPERLINK("https%3A%2F%2Fwww.webofscience.com%2Fwos%2Fwoscc%2Ffull-record%2FWOS:000077055400006","View Full Record in Web of Science")</f>
        <v>View Full Record in Web of Science</v>
      </c>
    </row>
    <row r="337" spans="1:72" x14ac:dyDescent="0.15">
      <c r="A337" t="s">
        <v>72</v>
      </c>
      <c r="B337" t="s">
        <v>4097</v>
      </c>
      <c r="C337" t="s">
        <v>74</v>
      </c>
      <c r="D337" t="s">
        <v>74</v>
      </c>
      <c r="E337" t="s">
        <v>74</v>
      </c>
      <c r="F337" t="s">
        <v>4097</v>
      </c>
      <c r="G337" t="s">
        <v>74</v>
      </c>
      <c r="H337" t="s">
        <v>74</v>
      </c>
      <c r="I337" t="s">
        <v>4098</v>
      </c>
      <c r="J337" t="s">
        <v>4099</v>
      </c>
      <c r="K337" t="s">
        <v>74</v>
      </c>
      <c r="L337" t="s">
        <v>74</v>
      </c>
      <c r="M337" t="s">
        <v>77</v>
      </c>
      <c r="N337" t="s">
        <v>52</v>
      </c>
      <c r="O337" t="s">
        <v>74</v>
      </c>
      <c r="P337" t="s">
        <v>74</v>
      </c>
      <c r="Q337" t="s">
        <v>74</v>
      </c>
      <c r="R337" t="s">
        <v>74</v>
      </c>
      <c r="S337" t="s">
        <v>74</v>
      </c>
      <c r="T337" t="s">
        <v>74</v>
      </c>
      <c r="U337" t="s">
        <v>74</v>
      </c>
      <c r="V337" t="s">
        <v>74</v>
      </c>
      <c r="W337" t="s">
        <v>4100</v>
      </c>
      <c r="X337" t="s">
        <v>4101</v>
      </c>
      <c r="Y337" t="s">
        <v>74</v>
      </c>
      <c r="Z337" t="s">
        <v>74</v>
      </c>
      <c r="AA337" t="s">
        <v>74</v>
      </c>
      <c r="AB337" t="s">
        <v>74</v>
      </c>
      <c r="AC337" t="s">
        <v>74</v>
      </c>
      <c r="AD337" t="s">
        <v>74</v>
      </c>
      <c r="AE337" t="s">
        <v>74</v>
      </c>
      <c r="AF337" t="s">
        <v>74</v>
      </c>
      <c r="AG337">
        <v>0</v>
      </c>
      <c r="AH337">
        <v>1</v>
      </c>
      <c r="AI337">
        <v>1</v>
      </c>
      <c r="AJ337">
        <v>0</v>
      </c>
      <c r="AK337">
        <v>1</v>
      </c>
      <c r="AL337" t="s">
        <v>4102</v>
      </c>
      <c r="AM337" t="s">
        <v>4103</v>
      </c>
      <c r="AN337" t="s">
        <v>4104</v>
      </c>
      <c r="AO337" t="s">
        <v>4105</v>
      </c>
      <c r="AP337" t="s">
        <v>74</v>
      </c>
      <c r="AQ337" t="s">
        <v>74</v>
      </c>
      <c r="AR337" t="s">
        <v>4106</v>
      </c>
      <c r="AS337" t="s">
        <v>4107</v>
      </c>
      <c r="AT337" t="s">
        <v>74</v>
      </c>
      <c r="AU337">
        <v>1998</v>
      </c>
      <c r="AV337">
        <v>81</v>
      </c>
      <c r="AW337">
        <v>2</v>
      </c>
      <c r="AX337" t="s">
        <v>74</v>
      </c>
      <c r="AY337" t="s">
        <v>1540</v>
      </c>
      <c r="AZ337" t="s">
        <v>74</v>
      </c>
      <c r="BA337" t="s">
        <v>4108</v>
      </c>
      <c r="BB337">
        <v>134</v>
      </c>
      <c r="BC337">
        <v>134</v>
      </c>
      <c r="BD337" t="s">
        <v>74</v>
      </c>
      <c r="BE337" t="s">
        <v>74</v>
      </c>
      <c r="BF337" t="s">
        <v>74</v>
      </c>
      <c r="BG337" t="s">
        <v>74</v>
      </c>
      <c r="BH337" t="s">
        <v>74</v>
      </c>
      <c r="BI337">
        <v>1</v>
      </c>
      <c r="BJ337" t="s">
        <v>4109</v>
      </c>
      <c r="BK337" t="s">
        <v>98</v>
      </c>
      <c r="BL337" t="s">
        <v>4109</v>
      </c>
      <c r="BM337" t="s">
        <v>4110</v>
      </c>
      <c r="BN337" t="s">
        <v>74</v>
      </c>
      <c r="BO337" t="s">
        <v>74</v>
      </c>
      <c r="BP337" t="s">
        <v>74</v>
      </c>
      <c r="BQ337" t="s">
        <v>74</v>
      </c>
      <c r="BR337" t="s">
        <v>101</v>
      </c>
      <c r="BS337" t="s">
        <v>4111</v>
      </c>
      <c r="BT337" t="str">
        <f>HYPERLINK("https%3A%2F%2Fwww.webofscience.com%2Fwos%2Fwoscc%2Ffull-record%2FWOS:000075654800134","View Full Record in Web of Science")</f>
        <v>View Full Record in Web of Science</v>
      </c>
    </row>
    <row r="338" spans="1:72" x14ac:dyDescent="0.15">
      <c r="A338" t="s">
        <v>72</v>
      </c>
      <c r="B338" t="s">
        <v>4112</v>
      </c>
      <c r="C338" t="s">
        <v>74</v>
      </c>
      <c r="D338" t="s">
        <v>74</v>
      </c>
      <c r="E338" t="s">
        <v>74</v>
      </c>
      <c r="F338" t="s">
        <v>4112</v>
      </c>
      <c r="G338" t="s">
        <v>74</v>
      </c>
      <c r="H338" t="s">
        <v>74</v>
      </c>
      <c r="I338" t="s">
        <v>4113</v>
      </c>
      <c r="J338" t="s">
        <v>4114</v>
      </c>
      <c r="K338" t="s">
        <v>74</v>
      </c>
      <c r="L338" t="s">
        <v>74</v>
      </c>
      <c r="M338" t="s">
        <v>77</v>
      </c>
      <c r="N338" t="s">
        <v>78</v>
      </c>
      <c r="O338" t="s">
        <v>74</v>
      </c>
      <c r="P338" t="s">
        <v>74</v>
      </c>
      <c r="Q338" t="s">
        <v>74</v>
      </c>
      <c r="R338" t="s">
        <v>74</v>
      </c>
      <c r="S338" t="s">
        <v>74</v>
      </c>
      <c r="T338" t="s">
        <v>74</v>
      </c>
      <c r="U338" t="s">
        <v>4115</v>
      </c>
      <c r="V338" t="s">
        <v>4116</v>
      </c>
      <c r="W338" t="s">
        <v>372</v>
      </c>
      <c r="X338" t="s">
        <v>322</v>
      </c>
      <c r="Y338" t="s">
        <v>4117</v>
      </c>
      <c r="Z338" t="s">
        <v>4118</v>
      </c>
      <c r="AA338" t="s">
        <v>4119</v>
      </c>
      <c r="AB338" t="s">
        <v>4120</v>
      </c>
      <c r="AC338" t="s">
        <v>74</v>
      </c>
      <c r="AD338" t="s">
        <v>74</v>
      </c>
      <c r="AE338" t="s">
        <v>74</v>
      </c>
      <c r="AF338" t="s">
        <v>74</v>
      </c>
      <c r="AG338">
        <v>59</v>
      </c>
      <c r="AH338">
        <v>60</v>
      </c>
      <c r="AI338">
        <v>67</v>
      </c>
      <c r="AJ338">
        <v>0</v>
      </c>
      <c r="AK338">
        <v>27</v>
      </c>
      <c r="AL338" t="s">
        <v>451</v>
      </c>
      <c r="AM338" t="s">
        <v>214</v>
      </c>
      <c r="AN338" t="s">
        <v>452</v>
      </c>
      <c r="AO338" t="s">
        <v>4121</v>
      </c>
      <c r="AP338" t="s">
        <v>74</v>
      </c>
      <c r="AQ338" t="s">
        <v>74</v>
      </c>
      <c r="AR338" t="s">
        <v>4122</v>
      </c>
      <c r="AS338" t="s">
        <v>4123</v>
      </c>
      <c r="AT338" t="s">
        <v>74</v>
      </c>
      <c r="AU338">
        <v>1998</v>
      </c>
      <c r="AV338">
        <v>45</v>
      </c>
      <c r="AW338">
        <v>7</v>
      </c>
      <c r="AX338" t="s">
        <v>74</v>
      </c>
      <c r="AY338" t="s">
        <v>74</v>
      </c>
      <c r="AZ338" t="s">
        <v>74</v>
      </c>
      <c r="BA338" t="s">
        <v>74</v>
      </c>
      <c r="BB338">
        <v>1155</v>
      </c>
      <c r="BC338" t="s">
        <v>4124</v>
      </c>
      <c r="BD338" t="s">
        <v>74</v>
      </c>
      <c r="BE338" t="s">
        <v>4125</v>
      </c>
      <c r="BF338" t="str">
        <f>HYPERLINK("http://dx.doi.org/10.1016/S0967-0645(98)00025-3","http://dx.doi.org/10.1016/S0967-0645(98)00025-3")</f>
        <v>http://dx.doi.org/10.1016/S0967-0645(98)00025-3</v>
      </c>
      <c r="BG338" t="s">
        <v>74</v>
      </c>
      <c r="BH338" t="s">
        <v>74</v>
      </c>
      <c r="BI338">
        <v>18</v>
      </c>
      <c r="BJ338" t="s">
        <v>97</v>
      </c>
      <c r="BK338" t="s">
        <v>98</v>
      </c>
      <c r="BL338" t="s">
        <v>97</v>
      </c>
      <c r="BM338" t="s">
        <v>4126</v>
      </c>
      <c r="BN338" t="s">
        <v>74</v>
      </c>
      <c r="BO338" t="s">
        <v>74</v>
      </c>
      <c r="BP338" t="s">
        <v>74</v>
      </c>
      <c r="BQ338" t="s">
        <v>74</v>
      </c>
      <c r="BR338" t="s">
        <v>101</v>
      </c>
      <c r="BS338" t="s">
        <v>4127</v>
      </c>
      <c r="BT338" t="str">
        <f>HYPERLINK("https%3A%2F%2Fwww.webofscience.com%2Fwos%2Fwoscc%2Ffull-record%2FWOS:000077403600002","View Full Record in Web of Science")</f>
        <v>View Full Record in Web of Science</v>
      </c>
    </row>
    <row r="339" spans="1:72" x14ac:dyDescent="0.15">
      <c r="A339" t="s">
        <v>72</v>
      </c>
      <c r="B339" t="s">
        <v>4128</v>
      </c>
      <c r="C339" t="s">
        <v>74</v>
      </c>
      <c r="D339" t="s">
        <v>74</v>
      </c>
      <c r="E339" t="s">
        <v>74</v>
      </c>
      <c r="F339" t="s">
        <v>4128</v>
      </c>
      <c r="G339" t="s">
        <v>74</v>
      </c>
      <c r="H339" t="s">
        <v>74</v>
      </c>
      <c r="I339" t="s">
        <v>4129</v>
      </c>
      <c r="J339" t="s">
        <v>4114</v>
      </c>
      <c r="K339" t="s">
        <v>74</v>
      </c>
      <c r="L339" t="s">
        <v>74</v>
      </c>
      <c r="M339" t="s">
        <v>77</v>
      </c>
      <c r="N339" t="s">
        <v>78</v>
      </c>
      <c r="O339" t="s">
        <v>74</v>
      </c>
      <c r="P339" t="s">
        <v>74</v>
      </c>
      <c r="Q339" t="s">
        <v>74</v>
      </c>
      <c r="R339" t="s">
        <v>74</v>
      </c>
      <c r="S339" t="s">
        <v>74</v>
      </c>
      <c r="T339" t="s">
        <v>74</v>
      </c>
      <c r="U339" t="s">
        <v>4130</v>
      </c>
      <c r="V339" t="s">
        <v>4131</v>
      </c>
      <c r="W339" t="s">
        <v>4132</v>
      </c>
      <c r="X339" t="s">
        <v>4133</v>
      </c>
      <c r="Y339" t="s">
        <v>4134</v>
      </c>
      <c r="Z339" t="s">
        <v>74</v>
      </c>
      <c r="AA339" t="s">
        <v>74</v>
      </c>
      <c r="AB339" t="s">
        <v>74</v>
      </c>
      <c r="AC339" t="s">
        <v>74</v>
      </c>
      <c r="AD339" t="s">
        <v>74</v>
      </c>
      <c r="AE339" t="s">
        <v>74</v>
      </c>
      <c r="AF339" t="s">
        <v>74</v>
      </c>
      <c r="AG339">
        <v>47</v>
      </c>
      <c r="AH339">
        <v>129</v>
      </c>
      <c r="AI339">
        <v>136</v>
      </c>
      <c r="AJ339">
        <v>0</v>
      </c>
      <c r="AK339">
        <v>13</v>
      </c>
      <c r="AL339" t="s">
        <v>451</v>
      </c>
      <c r="AM339" t="s">
        <v>214</v>
      </c>
      <c r="AN339" t="s">
        <v>452</v>
      </c>
      <c r="AO339" t="s">
        <v>4121</v>
      </c>
      <c r="AP339" t="s">
        <v>74</v>
      </c>
      <c r="AQ339" t="s">
        <v>74</v>
      </c>
      <c r="AR339" t="s">
        <v>4122</v>
      </c>
      <c r="AS339" t="s">
        <v>4123</v>
      </c>
      <c r="AT339" t="s">
        <v>74</v>
      </c>
      <c r="AU339">
        <v>1998</v>
      </c>
      <c r="AV339">
        <v>45</v>
      </c>
      <c r="AW339">
        <v>7</v>
      </c>
      <c r="AX339" t="s">
        <v>74</v>
      </c>
      <c r="AY339" t="s">
        <v>74</v>
      </c>
      <c r="AZ339" t="s">
        <v>74</v>
      </c>
      <c r="BA339" t="s">
        <v>74</v>
      </c>
      <c r="BB339">
        <v>1273</v>
      </c>
      <c r="BC339">
        <v>1294</v>
      </c>
      <c r="BD339" t="s">
        <v>74</v>
      </c>
      <c r="BE339" t="s">
        <v>4135</v>
      </c>
      <c r="BF339" t="str">
        <f>HYPERLINK("http://dx.doi.org/10.1016/S0967-0645(98)00036-8","http://dx.doi.org/10.1016/S0967-0645(98)00036-8")</f>
        <v>http://dx.doi.org/10.1016/S0967-0645(98)00036-8</v>
      </c>
      <c r="BG339" t="s">
        <v>74</v>
      </c>
      <c r="BH339" t="s">
        <v>74</v>
      </c>
      <c r="BI339">
        <v>22</v>
      </c>
      <c r="BJ339" t="s">
        <v>97</v>
      </c>
      <c r="BK339" t="s">
        <v>98</v>
      </c>
      <c r="BL339" t="s">
        <v>97</v>
      </c>
      <c r="BM339" t="s">
        <v>4126</v>
      </c>
      <c r="BN339" t="s">
        <v>74</v>
      </c>
      <c r="BO339" t="s">
        <v>74</v>
      </c>
      <c r="BP339" t="s">
        <v>74</v>
      </c>
      <c r="BQ339" t="s">
        <v>74</v>
      </c>
      <c r="BR339" t="s">
        <v>101</v>
      </c>
      <c r="BS339" t="s">
        <v>4136</v>
      </c>
      <c r="BT339" t="str">
        <f>HYPERLINK("https%3A%2F%2Fwww.webofscience.com%2Fwos%2Fwoscc%2Ffull-record%2FWOS:000077403600008","View Full Record in Web of Science")</f>
        <v>View Full Record in Web of Science</v>
      </c>
    </row>
    <row r="340" spans="1:72" x14ac:dyDescent="0.15">
      <c r="A340" t="s">
        <v>72</v>
      </c>
      <c r="B340" t="s">
        <v>4137</v>
      </c>
      <c r="C340" t="s">
        <v>74</v>
      </c>
      <c r="D340" t="s">
        <v>74</v>
      </c>
      <c r="E340" t="s">
        <v>74</v>
      </c>
      <c r="F340" t="s">
        <v>4137</v>
      </c>
      <c r="G340" t="s">
        <v>74</v>
      </c>
      <c r="H340" t="s">
        <v>74</v>
      </c>
      <c r="I340" t="s">
        <v>4138</v>
      </c>
      <c r="J340" t="s">
        <v>4114</v>
      </c>
      <c r="K340" t="s">
        <v>74</v>
      </c>
      <c r="L340" t="s">
        <v>74</v>
      </c>
      <c r="M340" t="s">
        <v>77</v>
      </c>
      <c r="N340" t="s">
        <v>78</v>
      </c>
      <c r="O340" t="s">
        <v>74</v>
      </c>
      <c r="P340" t="s">
        <v>74</v>
      </c>
      <c r="Q340" t="s">
        <v>74</v>
      </c>
      <c r="R340" t="s">
        <v>74</v>
      </c>
      <c r="S340" t="s">
        <v>74</v>
      </c>
      <c r="T340" t="s">
        <v>74</v>
      </c>
      <c r="U340" t="s">
        <v>4139</v>
      </c>
      <c r="V340" t="s">
        <v>4140</v>
      </c>
      <c r="W340" t="s">
        <v>4141</v>
      </c>
      <c r="X340" t="s">
        <v>4142</v>
      </c>
      <c r="Y340" t="s">
        <v>4143</v>
      </c>
      <c r="Z340" t="s">
        <v>4144</v>
      </c>
      <c r="AA340" t="s">
        <v>4145</v>
      </c>
      <c r="AB340" t="s">
        <v>4146</v>
      </c>
      <c r="AC340" t="s">
        <v>74</v>
      </c>
      <c r="AD340" t="s">
        <v>74</v>
      </c>
      <c r="AE340" t="s">
        <v>74</v>
      </c>
      <c r="AF340" t="s">
        <v>74</v>
      </c>
      <c r="AG340">
        <v>77</v>
      </c>
      <c r="AH340">
        <v>76</v>
      </c>
      <c r="AI340">
        <v>88</v>
      </c>
      <c r="AJ340">
        <v>0</v>
      </c>
      <c r="AK340">
        <v>13</v>
      </c>
      <c r="AL340" t="s">
        <v>451</v>
      </c>
      <c r="AM340" t="s">
        <v>214</v>
      </c>
      <c r="AN340" t="s">
        <v>452</v>
      </c>
      <c r="AO340" t="s">
        <v>4121</v>
      </c>
      <c r="AP340" t="s">
        <v>4147</v>
      </c>
      <c r="AQ340" t="s">
        <v>74</v>
      </c>
      <c r="AR340" t="s">
        <v>4122</v>
      </c>
      <c r="AS340" t="s">
        <v>4123</v>
      </c>
      <c r="AT340" t="s">
        <v>74</v>
      </c>
      <c r="AU340">
        <v>1998</v>
      </c>
      <c r="AV340">
        <v>45</v>
      </c>
      <c r="AW340" t="s">
        <v>4148</v>
      </c>
      <c r="AX340" t="s">
        <v>74</v>
      </c>
      <c r="AY340" t="s">
        <v>74</v>
      </c>
      <c r="AZ340" t="s">
        <v>74</v>
      </c>
      <c r="BA340" t="s">
        <v>74</v>
      </c>
      <c r="BB340">
        <v>1709</v>
      </c>
      <c r="BC340">
        <v>1740</v>
      </c>
      <c r="BD340" t="s">
        <v>74</v>
      </c>
      <c r="BE340" t="s">
        <v>4149</v>
      </c>
      <c r="BF340" t="str">
        <f>HYPERLINK("http://dx.doi.org/10.1016/S0967-0645(98)80014-3","http://dx.doi.org/10.1016/S0967-0645(98)80014-3")</f>
        <v>http://dx.doi.org/10.1016/S0967-0645(98)80014-3</v>
      </c>
      <c r="BG340" t="s">
        <v>74</v>
      </c>
      <c r="BH340" t="s">
        <v>74</v>
      </c>
      <c r="BI340">
        <v>32</v>
      </c>
      <c r="BJ340" t="s">
        <v>97</v>
      </c>
      <c r="BK340" t="s">
        <v>98</v>
      </c>
      <c r="BL340" t="s">
        <v>97</v>
      </c>
      <c r="BM340" t="s">
        <v>4150</v>
      </c>
      <c r="BN340" t="s">
        <v>74</v>
      </c>
      <c r="BO340" t="s">
        <v>4151</v>
      </c>
      <c r="BP340" t="s">
        <v>74</v>
      </c>
      <c r="BQ340" t="s">
        <v>74</v>
      </c>
      <c r="BR340" t="s">
        <v>101</v>
      </c>
      <c r="BS340" t="s">
        <v>4152</v>
      </c>
      <c r="BT340" t="str">
        <f>HYPERLINK("https%3A%2F%2Fwww.webofscience.com%2Fwos%2Fwoscc%2Ffull-record%2FWOS:000077582700013","View Full Record in Web of Science")</f>
        <v>View Full Record in Web of Science</v>
      </c>
    </row>
    <row r="341" spans="1:72" x14ac:dyDescent="0.15">
      <c r="A341" t="s">
        <v>72</v>
      </c>
      <c r="B341" t="s">
        <v>4153</v>
      </c>
      <c r="C341" t="s">
        <v>74</v>
      </c>
      <c r="D341" t="s">
        <v>74</v>
      </c>
      <c r="E341" t="s">
        <v>74</v>
      </c>
      <c r="F341" t="s">
        <v>4153</v>
      </c>
      <c r="G341" t="s">
        <v>74</v>
      </c>
      <c r="H341" t="s">
        <v>74</v>
      </c>
      <c r="I341" t="s">
        <v>4154</v>
      </c>
      <c r="J341" t="s">
        <v>4155</v>
      </c>
      <c r="K341" t="s">
        <v>74</v>
      </c>
      <c r="L341" t="s">
        <v>74</v>
      </c>
      <c r="M341" t="s">
        <v>77</v>
      </c>
      <c r="N341" t="s">
        <v>78</v>
      </c>
      <c r="O341" t="s">
        <v>74</v>
      </c>
      <c r="P341" t="s">
        <v>74</v>
      </c>
      <c r="Q341" t="s">
        <v>74</v>
      </c>
      <c r="R341" t="s">
        <v>74</v>
      </c>
      <c r="S341" t="s">
        <v>74</v>
      </c>
      <c r="T341" t="s">
        <v>4156</v>
      </c>
      <c r="U341" t="s">
        <v>4157</v>
      </c>
      <c r="V341" t="s">
        <v>4158</v>
      </c>
      <c r="W341" t="s">
        <v>1627</v>
      </c>
      <c r="X341" t="s">
        <v>1628</v>
      </c>
      <c r="Y341" t="s">
        <v>74</v>
      </c>
      <c r="Z341" t="s">
        <v>74</v>
      </c>
      <c r="AA341" t="s">
        <v>1630</v>
      </c>
      <c r="AB341" t="s">
        <v>1631</v>
      </c>
      <c r="AC341" t="s">
        <v>74</v>
      </c>
      <c r="AD341" t="s">
        <v>74</v>
      </c>
      <c r="AE341" t="s">
        <v>74</v>
      </c>
      <c r="AF341" t="s">
        <v>74</v>
      </c>
      <c r="AG341">
        <v>61</v>
      </c>
      <c r="AH341">
        <v>7</v>
      </c>
      <c r="AI341">
        <v>7</v>
      </c>
      <c r="AJ341">
        <v>0</v>
      </c>
      <c r="AK341">
        <v>5</v>
      </c>
      <c r="AL341" t="s">
        <v>4159</v>
      </c>
      <c r="AM341" t="s">
        <v>4160</v>
      </c>
      <c r="AN341" t="s">
        <v>4161</v>
      </c>
      <c r="AO341" t="s">
        <v>4162</v>
      </c>
      <c r="AP341" t="s">
        <v>74</v>
      </c>
      <c r="AQ341" t="s">
        <v>74</v>
      </c>
      <c r="AR341" t="s">
        <v>4163</v>
      </c>
      <c r="AS341" t="s">
        <v>74</v>
      </c>
      <c r="AT341" t="s">
        <v>74</v>
      </c>
      <c r="AU341">
        <v>1998</v>
      </c>
      <c r="AV341">
        <v>161</v>
      </c>
      <c r="AW341" t="s">
        <v>74</v>
      </c>
      <c r="AX341" t="s">
        <v>74</v>
      </c>
      <c r="AY341" t="s">
        <v>74</v>
      </c>
      <c r="AZ341" t="s">
        <v>74</v>
      </c>
      <c r="BA341" t="s">
        <v>74</v>
      </c>
      <c r="BB341">
        <v>25</v>
      </c>
      <c r="BC341">
        <v>43</v>
      </c>
      <c r="BD341" t="s">
        <v>74</v>
      </c>
      <c r="BE341" t="s">
        <v>74</v>
      </c>
      <c r="BF341" t="s">
        <v>74</v>
      </c>
      <c r="BG341" t="s">
        <v>74</v>
      </c>
      <c r="BH341" t="s">
        <v>74</v>
      </c>
      <c r="BI341">
        <v>19</v>
      </c>
      <c r="BJ341" t="s">
        <v>4164</v>
      </c>
      <c r="BK341" t="s">
        <v>98</v>
      </c>
      <c r="BL341" t="s">
        <v>4165</v>
      </c>
      <c r="BM341" t="s">
        <v>4166</v>
      </c>
      <c r="BN341" t="s">
        <v>74</v>
      </c>
      <c r="BO341" t="s">
        <v>74</v>
      </c>
      <c r="BP341" t="s">
        <v>74</v>
      </c>
      <c r="BQ341" t="s">
        <v>74</v>
      </c>
      <c r="BR341" t="s">
        <v>101</v>
      </c>
      <c r="BS341" t="s">
        <v>4167</v>
      </c>
      <c r="BT341" t="str">
        <f>HYPERLINK("https%3A%2F%2Fwww.webofscience.com%2Fwos%2Fwoscc%2Ffull-record%2FWOS:000076997200002","View Full Record in Web of Science")</f>
        <v>View Full Record in Web of Science</v>
      </c>
    </row>
    <row r="342" spans="1:72" x14ac:dyDescent="0.15">
      <c r="A342" t="s">
        <v>72</v>
      </c>
      <c r="B342" t="s">
        <v>4168</v>
      </c>
      <c r="C342" t="s">
        <v>74</v>
      </c>
      <c r="D342" t="s">
        <v>74</v>
      </c>
      <c r="E342" t="s">
        <v>74</v>
      </c>
      <c r="F342" t="s">
        <v>4168</v>
      </c>
      <c r="G342" t="s">
        <v>74</v>
      </c>
      <c r="H342" t="s">
        <v>74</v>
      </c>
      <c r="I342" t="s">
        <v>4169</v>
      </c>
      <c r="J342" t="s">
        <v>4170</v>
      </c>
      <c r="K342" t="s">
        <v>74</v>
      </c>
      <c r="L342" t="s">
        <v>74</v>
      </c>
      <c r="M342" t="s">
        <v>77</v>
      </c>
      <c r="N342" t="s">
        <v>78</v>
      </c>
      <c r="O342" t="s">
        <v>74</v>
      </c>
      <c r="P342" t="s">
        <v>74</v>
      </c>
      <c r="Q342" t="s">
        <v>74</v>
      </c>
      <c r="R342" t="s">
        <v>74</v>
      </c>
      <c r="S342" t="s">
        <v>74</v>
      </c>
      <c r="T342" t="s">
        <v>4171</v>
      </c>
      <c r="U342" t="s">
        <v>4172</v>
      </c>
      <c r="V342" t="s">
        <v>4173</v>
      </c>
      <c r="W342" t="s">
        <v>4174</v>
      </c>
      <c r="X342" t="s">
        <v>4175</v>
      </c>
      <c r="Y342" t="s">
        <v>4176</v>
      </c>
      <c r="Z342" t="s">
        <v>4177</v>
      </c>
      <c r="AA342" t="s">
        <v>4178</v>
      </c>
      <c r="AB342" t="s">
        <v>4179</v>
      </c>
      <c r="AC342" t="s">
        <v>74</v>
      </c>
      <c r="AD342" t="s">
        <v>74</v>
      </c>
      <c r="AE342" t="s">
        <v>74</v>
      </c>
      <c r="AF342" t="s">
        <v>74</v>
      </c>
      <c r="AG342">
        <v>55</v>
      </c>
      <c r="AH342">
        <v>65</v>
      </c>
      <c r="AI342">
        <v>67</v>
      </c>
      <c r="AJ342">
        <v>2</v>
      </c>
      <c r="AK342">
        <v>16</v>
      </c>
      <c r="AL342" t="s">
        <v>1029</v>
      </c>
      <c r="AM342" t="s">
        <v>1030</v>
      </c>
      <c r="AN342" t="s">
        <v>1031</v>
      </c>
      <c r="AO342" t="s">
        <v>4180</v>
      </c>
      <c r="AP342" t="s">
        <v>74</v>
      </c>
      <c r="AQ342" t="s">
        <v>74</v>
      </c>
      <c r="AR342" t="s">
        <v>4181</v>
      </c>
      <c r="AS342" t="s">
        <v>4182</v>
      </c>
      <c r="AT342" t="s">
        <v>2502</v>
      </c>
      <c r="AU342">
        <v>1998</v>
      </c>
      <c r="AV342">
        <v>154</v>
      </c>
      <c r="AW342" t="s">
        <v>4183</v>
      </c>
      <c r="AX342" t="s">
        <v>74</v>
      </c>
      <c r="AY342" t="s">
        <v>74</v>
      </c>
      <c r="AZ342" t="s">
        <v>74</v>
      </c>
      <c r="BA342" t="s">
        <v>74</v>
      </c>
      <c r="BB342">
        <v>109</v>
      </c>
      <c r="BC342">
        <v>125</v>
      </c>
      <c r="BD342" t="s">
        <v>74</v>
      </c>
      <c r="BE342" t="s">
        <v>4184</v>
      </c>
      <c r="BF342" t="str">
        <f>HYPERLINK("http://dx.doi.org/10.1016/S0012-821X(97)00172-6","http://dx.doi.org/10.1016/S0012-821X(97)00172-6")</f>
        <v>http://dx.doi.org/10.1016/S0012-821X(97)00172-6</v>
      </c>
      <c r="BG342" t="s">
        <v>74</v>
      </c>
      <c r="BH342" t="s">
        <v>74</v>
      </c>
      <c r="BI342">
        <v>17</v>
      </c>
      <c r="BJ342" t="s">
        <v>143</v>
      </c>
      <c r="BK342" t="s">
        <v>98</v>
      </c>
      <c r="BL342" t="s">
        <v>143</v>
      </c>
      <c r="BM342" t="s">
        <v>4185</v>
      </c>
      <c r="BN342" t="s">
        <v>74</v>
      </c>
      <c r="BO342" t="s">
        <v>74</v>
      </c>
      <c r="BP342" t="s">
        <v>74</v>
      </c>
      <c r="BQ342" t="s">
        <v>74</v>
      </c>
      <c r="BR342" t="s">
        <v>101</v>
      </c>
      <c r="BS342" t="s">
        <v>4186</v>
      </c>
      <c r="BT342" t="str">
        <f>HYPERLINK("https%3A%2F%2Fwww.webofscience.com%2Fwos%2Fwoscc%2Ffull-record%2FWOS:000072715700008","View Full Record in Web of Science")</f>
        <v>View Full Record in Web of Science</v>
      </c>
    </row>
    <row r="343" spans="1:72" x14ac:dyDescent="0.15">
      <c r="A343" t="s">
        <v>72</v>
      </c>
      <c r="B343" t="s">
        <v>4187</v>
      </c>
      <c r="C343" t="s">
        <v>74</v>
      </c>
      <c r="D343" t="s">
        <v>74</v>
      </c>
      <c r="E343" t="s">
        <v>74</v>
      </c>
      <c r="F343" t="s">
        <v>4187</v>
      </c>
      <c r="G343" t="s">
        <v>74</v>
      </c>
      <c r="H343" t="s">
        <v>74</v>
      </c>
      <c r="I343" t="s">
        <v>4188</v>
      </c>
      <c r="J343" t="s">
        <v>4170</v>
      </c>
      <c r="K343" t="s">
        <v>74</v>
      </c>
      <c r="L343" t="s">
        <v>74</v>
      </c>
      <c r="M343" t="s">
        <v>77</v>
      </c>
      <c r="N343" t="s">
        <v>78</v>
      </c>
      <c r="O343" t="s">
        <v>74</v>
      </c>
      <c r="P343" t="s">
        <v>74</v>
      </c>
      <c r="Q343" t="s">
        <v>74</v>
      </c>
      <c r="R343" t="s">
        <v>74</v>
      </c>
      <c r="S343" t="s">
        <v>74</v>
      </c>
      <c r="T343" t="s">
        <v>4189</v>
      </c>
      <c r="U343" t="s">
        <v>74</v>
      </c>
      <c r="V343" t="s">
        <v>4190</v>
      </c>
      <c r="W343" t="s">
        <v>758</v>
      </c>
      <c r="X343" t="s">
        <v>322</v>
      </c>
      <c r="Y343" t="s">
        <v>4191</v>
      </c>
      <c r="Z343" t="s">
        <v>4192</v>
      </c>
      <c r="AA343" t="s">
        <v>74</v>
      </c>
      <c r="AB343" t="s">
        <v>74</v>
      </c>
      <c r="AC343" t="s">
        <v>74</v>
      </c>
      <c r="AD343" t="s">
        <v>74</v>
      </c>
      <c r="AE343" t="s">
        <v>74</v>
      </c>
      <c r="AF343" t="s">
        <v>74</v>
      </c>
      <c r="AG343">
        <v>30</v>
      </c>
      <c r="AH343">
        <v>50</v>
      </c>
      <c r="AI343">
        <v>55</v>
      </c>
      <c r="AJ343">
        <v>0</v>
      </c>
      <c r="AK343">
        <v>2</v>
      </c>
      <c r="AL343" t="s">
        <v>1029</v>
      </c>
      <c r="AM343" t="s">
        <v>1030</v>
      </c>
      <c r="AN343" t="s">
        <v>1031</v>
      </c>
      <c r="AO343" t="s">
        <v>4180</v>
      </c>
      <c r="AP343" t="s">
        <v>74</v>
      </c>
      <c r="AQ343" t="s">
        <v>74</v>
      </c>
      <c r="AR343" t="s">
        <v>4181</v>
      </c>
      <c r="AS343" t="s">
        <v>4182</v>
      </c>
      <c r="AT343" t="s">
        <v>2502</v>
      </c>
      <c r="AU343">
        <v>1998</v>
      </c>
      <c r="AV343">
        <v>154</v>
      </c>
      <c r="AW343" t="s">
        <v>4183</v>
      </c>
      <c r="AX343" t="s">
        <v>74</v>
      </c>
      <c r="AY343" t="s">
        <v>74</v>
      </c>
      <c r="AZ343" t="s">
        <v>74</v>
      </c>
      <c r="BA343" t="s">
        <v>74</v>
      </c>
      <c r="BB343">
        <v>185</v>
      </c>
      <c r="BC343">
        <v>202</v>
      </c>
      <c r="BD343" t="s">
        <v>74</v>
      </c>
      <c r="BE343" t="s">
        <v>4193</v>
      </c>
      <c r="BF343" t="str">
        <f>HYPERLINK("http://dx.doi.org/10.1016/S0012-821X(97)00165-9","http://dx.doi.org/10.1016/S0012-821X(97)00165-9")</f>
        <v>http://dx.doi.org/10.1016/S0012-821X(97)00165-9</v>
      </c>
      <c r="BG343" t="s">
        <v>74</v>
      </c>
      <c r="BH343" t="s">
        <v>74</v>
      </c>
      <c r="BI343">
        <v>18</v>
      </c>
      <c r="BJ343" t="s">
        <v>143</v>
      </c>
      <c r="BK343" t="s">
        <v>98</v>
      </c>
      <c r="BL343" t="s">
        <v>143</v>
      </c>
      <c r="BM343" t="s">
        <v>4185</v>
      </c>
      <c r="BN343" t="s">
        <v>74</v>
      </c>
      <c r="BO343" t="s">
        <v>74</v>
      </c>
      <c r="BP343" t="s">
        <v>74</v>
      </c>
      <c r="BQ343" t="s">
        <v>74</v>
      </c>
      <c r="BR343" t="s">
        <v>101</v>
      </c>
      <c r="BS343" t="s">
        <v>4194</v>
      </c>
      <c r="BT343" t="str">
        <f>HYPERLINK("https%3A%2F%2Fwww.webofscience.com%2Fwos%2Fwoscc%2Ffull-record%2FWOS:000072715700013","View Full Record in Web of Science")</f>
        <v>View Full Record in Web of Science</v>
      </c>
    </row>
    <row r="344" spans="1:72" x14ac:dyDescent="0.15">
      <c r="A344" t="s">
        <v>72</v>
      </c>
      <c r="B344" t="s">
        <v>4195</v>
      </c>
      <c r="C344" t="s">
        <v>74</v>
      </c>
      <c r="D344" t="s">
        <v>74</v>
      </c>
      <c r="E344" t="s">
        <v>74</v>
      </c>
      <c r="F344" t="s">
        <v>4195</v>
      </c>
      <c r="G344" t="s">
        <v>74</v>
      </c>
      <c r="H344" t="s">
        <v>74</v>
      </c>
      <c r="I344" t="s">
        <v>4196</v>
      </c>
      <c r="J344" t="s">
        <v>4170</v>
      </c>
      <c r="K344" t="s">
        <v>74</v>
      </c>
      <c r="L344" t="s">
        <v>74</v>
      </c>
      <c r="M344" t="s">
        <v>77</v>
      </c>
      <c r="N344" t="s">
        <v>78</v>
      </c>
      <c r="O344" t="s">
        <v>74</v>
      </c>
      <c r="P344" t="s">
        <v>74</v>
      </c>
      <c r="Q344" t="s">
        <v>74</v>
      </c>
      <c r="R344" t="s">
        <v>74</v>
      </c>
      <c r="S344" t="s">
        <v>74</v>
      </c>
      <c r="T344" t="s">
        <v>4197</v>
      </c>
      <c r="U344" t="s">
        <v>4198</v>
      </c>
      <c r="V344" t="s">
        <v>4199</v>
      </c>
      <c r="W344" t="s">
        <v>4200</v>
      </c>
      <c r="X344" t="s">
        <v>4201</v>
      </c>
      <c r="Y344" t="s">
        <v>4202</v>
      </c>
      <c r="Z344" t="s">
        <v>74</v>
      </c>
      <c r="AA344" t="s">
        <v>74</v>
      </c>
      <c r="AB344" t="s">
        <v>4203</v>
      </c>
      <c r="AC344" t="s">
        <v>74</v>
      </c>
      <c r="AD344" t="s">
        <v>74</v>
      </c>
      <c r="AE344" t="s">
        <v>74</v>
      </c>
      <c r="AF344" t="s">
        <v>74</v>
      </c>
      <c r="AG344">
        <v>46</v>
      </c>
      <c r="AH344">
        <v>15</v>
      </c>
      <c r="AI344">
        <v>15</v>
      </c>
      <c r="AJ344">
        <v>0</v>
      </c>
      <c r="AK344">
        <v>1</v>
      </c>
      <c r="AL344" t="s">
        <v>1029</v>
      </c>
      <c r="AM344" t="s">
        <v>1030</v>
      </c>
      <c r="AN344" t="s">
        <v>1031</v>
      </c>
      <c r="AO344" t="s">
        <v>4180</v>
      </c>
      <c r="AP344" t="s">
        <v>74</v>
      </c>
      <c r="AQ344" t="s">
        <v>74</v>
      </c>
      <c r="AR344" t="s">
        <v>4181</v>
      </c>
      <c r="AS344" t="s">
        <v>4182</v>
      </c>
      <c r="AT344" t="s">
        <v>2502</v>
      </c>
      <c r="AU344">
        <v>1998</v>
      </c>
      <c r="AV344">
        <v>154</v>
      </c>
      <c r="AW344" t="s">
        <v>4183</v>
      </c>
      <c r="AX344" t="s">
        <v>74</v>
      </c>
      <c r="AY344" t="s">
        <v>74</v>
      </c>
      <c r="AZ344" t="s">
        <v>74</v>
      </c>
      <c r="BA344" t="s">
        <v>74</v>
      </c>
      <c r="BB344">
        <v>265</v>
      </c>
      <c r="BC344">
        <v>278</v>
      </c>
      <c r="BD344" t="s">
        <v>74</v>
      </c>
      <c r="BE344" t="s">
        <v>4204</v>
      </c>
      <c r="BF344" t="str">
        <f>HYPERLINK("http://dx.doi.org/10.1016/S0012-821X(97)00191-X","http://dx.doi.org/10.1016/S0012-821X(97)00191-X")</f>
        <v>http://dx.doi.org/10.1016/S0012-821X(97)00191-X</v>
      </c>
      <c r="BG344" t="s">
        <v>74</v>
      </c>
      <c r="BH344" t="s">
        <v>74</v>
      </c>
      <c r="BI344">
        <v>14</v>
      </c>
      <c r="BJ344" t="s">
        <v>143</v>
      </c>
      <c r="BK344" t="s">
        <v>98</v>
      </c>
      <c r="BL344" t="s">
        <v>143</v>
      </c>
      <c r="BM344" t="s">
        <v>4185</v>
      </c>
      <c r="BN344" t="s">
        <v>74</v>
      </c>
      <c r="BO344" t="s">
        <v>74</v>
      </c>
      <c r="BP344" t="s">
        <v>74</v>
      </c>
      <c r="BQ344" t="s">
        <v>74</v>
      </c>
      <c r="BR344" t="s">
        <v>101</v>
      </c>
      <c r="BS344" t="s">
        <v>4205</v>
      </c>
      <c r="BT344" t="str">
        <f>HYPERLINK("https%3A%2F%2Fwww.webofscience.com%2Fwos%2Fwoscc%2Ffull-record%2FWOS:000072715700018","View Full Record in Web of Science")</f>
        <v>View Full Record in Web of Science</v>
      </c>
    </row>
    <row r="345" spans="1:72" x14ac:dyDescent="0.15">
      <c r="A345" t="s">
        <v>72</v>
      </c>
      <c r="B345" t="s">
        <v>4206</v>
      </c>
      <c r="C345" t="s">
        <v>74</v>
      </c>
      <c r="D345" t="s">
        <v>74</v>
      </c>
      <c r="E345" t="s">
        <v>74</v>
      </c>
      <c r="F345" t="s">
        <v>4206</v>
      </c>
      <c r="G345" t="s">
        <v>74</v>
      </c>
      <c r="H345" t="s">
        <v>74</v>
      </c>
      <c r="I345" t="s">
        <v>4207</v>
      </c>
      <c r="J345" t="s">
        <v>4208</v>
      </c>
      <c r="K345" t="s">
        <v>74</v>
      </c>
      <c r="L345" t="s">
        <v>74</v>
      </c>
      <c r="M345" t="s">
        <v>77</v>
      </c>
      <c r="N345" t="s">
        <v>212</v>
      </c>
      <c r="O345" t="s">
        <v>74</v>
      </c>
      <c r="P345" t="s">
        <v>74</v>
      </c>
      <c r="Q345" t="s">
        <v>74</v>
      </c>
      <c r="R345" t="s">
        <v>74</v>
      </c>
      <c r="S345" t="s">
        <v>74</v>
      </c>
      <c r="T345" t="s">
        <v>74</v>
      </c>
      <c r="U345" t="s">
        <v>74</v>
      </c>
      <c r="V345" t="s">
        <v>4209</v>
      </c>
      <c r="W345" t="s">
        <v>4210</v>
      </c>
      <c r="X345" t="s">
        <v>4211</v>
      </c>
      <c r="Y345" t="s">
        <v>4212</v>
      </c>
      <c r="Z345" t="s">
        <v>74</v>
      </c>
      <c r="AA345" t="s">
        <v>4213</v>
      </c>
      <c r="AB345" t="s">
        <v>4214</v>
      </c>
      <c r="AC345" t="s">
        <v>74</v>
      </c>
      <c r="AD345" t="s">
        <v>74</v>
      </c>
      <c r="AE345" t="s">
        <v>74</v>
      </c>
      <c r="AF345" t="s">
        <v>74</v>
      </c>
      <c r="AG345">
        <v>10</v>
      </c>
      <c r="AH345">
        <v>7</v>
      </c>
      <c r="AI345">
        <v>7</v>
      </c>
      <c r="AJ345">
        <v>0</v>
      </c>
      <c r="AK345">
        <v>3</v>
      </c>
      <c r="AL345" t="s">
        <v>4215</v>
      </c>
      <c r="AM345" t="s">
        <v>4216</v>
      </c>
      <c r="AN345" t="s">
        <v>4217</v>
      </c>
      <c r="AO345" t="s">
        <v>4218</v>
      </c>
      <c r="AP345" t="s">
        <v>74</v>
      </c>
      <c r="AQ345" t="s">
        <v>74</v>
      </c>
      <c r="AR345" t="s">
        <v>4219</v>
      </c>
      <c r="AS345" t="s">
        <v>4220</v>
      </c>
      <c r="AT345" t="s">
        <v>74</v>
      </c>
      <c r="AU345">
        <v>1998</v>
      </c>
      <c r="AV345">
        <v>50</v>
      </c>
      <c r="AW345">
        <v>10</v>
      </c>
      <c r="AX345" t="s">
        <v>74</v>
      </c>
      <c r="AY345" t="s">
        <v>74</v>
      </c>
      <c r="AZ345" t="s">
        <v>74</v>
      </c>
      <c r="BA345" t="s">
        <v>74</v>
      </c>
      <c r="BB345">
        <v>887</v>
      </c>
      <c r="BC345">
        <v>892</v>
      </c>
      <c r="BD345" t="s">
        <v>74</v>
      </c>
      <c r="BE345" t="s">
        <v>4221</v>
      </c>
      <c r="BF345" t="str">
        <f>HYPERLINK("http://dx.doi.org/10.1186/BF03352183","http://dx.doi.org/10.1186/BF03352183")</f>
        <v>http://dx.doi.org/10.1186/BF03352183</v>
      </c>
      <c r="BG345" t="s">
        <v>74</v>
      </c>
      <c r="BH345" t="s">
        <v>74</v>
      </c>
      <c r="BI345">
        <v>6</v>
      </c>
      <c r="BJ345" t="s">
        <v>769</v>
      </c>
      <c r="BK345" t="s">
        <v>98</v>
      </c>
      <c r="BL345" t="s">
        <v>471</v>
      </c>
      <c r="BM345" t="s">
        <v>4222</v>
      </c>
      <c r="BN345" t="s">
        <v>74</v>
      </c>
      <c r="BO345" t="s">
        <v>4223</v>
      </c>
      <c r="BP345" t="s">
        <v>74</v>
      </c>
      <c r="BQ345" t="s">
        <v>74</v>
      </c>
      <c r="BR345" t="s">
        <v>101</v>
      </c>
      <c r="BS345" t="s">
        <v>4224</v>
      </c>
      <c r="BT345" t="str">
        <f>HYPERLINK("https%3A%2F%2Fwww.webofscience.com%2Fwos%2Fwoscc%2Ffull-record%2FWOS:000077715500011","View Full Record in Web of Science")</f>
        <v>View Full Record in Web of Science</v>
      </c>
    </row>
    <row r="346" spans="1:72" x14ac:dyDescent="0.15">
      <c r="A346" t="s">
        <v>72</v>
      </c>
      <c r="B346" t="s">
        <v>4225</v>
      </c>
      <c r="C346" t="s">
        <v>74</v>
      </c>
      <c r="D346" t="s">
        <v>74</v>
      </c>
      <c r="E346" t="s">
        <v>74</v>
      </c>
      <c r="F346" t="s">
        <v>4225</v>
      </c>
      <c r="G346" t="s">
        <v>74</v>
      </c>
      <c r="H346" t="s">
        <v>74</v>
      </c>
      <c r="I346" t="s">
        <v>4226</v>
      </c>
      <c r="J346" t="s">
        <v>4227</v>
      </c>
      <c r="K346" t="s">
        <v>74</v>
      </c>
      <c r="L346" t="s">
        <v>74</v>
      </c>
      <c r="M346" t="s">
        <v>77</v>
      </c>
      <c r="N346" t="s">
        <v>78</v>
      </c>
      <c r="O346" t="s">
        <v>74</v>
      </c>
      <c r="P346" t="s">
        <v>74</v>
      </c>
      <c r="Q346" t="s">
        <v>74</v>
      </c>
      <c r="R346" t="s">
        <v>74</v>
      </c>
      <c r="S346" t="s">
        <v>74</v>
      </c>
      <c r="T346" t="s">
        <v>4228</v>
      </c>
      <c r="U346" t="s">
        <v>4229</v>
      </c>
      <c r="V346" t="s">
        <v>4230</v>
      </c>
      <c r="W346" t="s">
        <v>4231</v>
      </c>
      <c r="X346" t="s">
        <v>4232</v>
      </c>
      <c r="Y346" t="s">
        <v>4233</v>
      </c>
      <c r="Z346" t="s">
        <v>74</v>
      </c>
      <c r="AA346" t="s">
        <v>74</v>
      </c>
      <c r="AB346" t="s">
        <v>74</v>
      </c>
      <c r="AC346" t="s">
        <v>74</v>
      </c>
      <c r="AD346" t="s">
        <v>74</v>
      </c>
      <c r="AE346" t="s">
        <v>74</v>
      </c>
      <c r="AF346" t="s">
        <v>74</v>
      </c>
      <c r="AG346">
        <v>67</v>
      </c>
      <c r="AH346">
        <v>12</v>
      </c>
      <c r="AI346">
        <v>13</v>
      </c>
      <c r="AJ346">
        <v>0</v>
      </c>
      <c r="AK346">
        <v>3</v>
      </c>
      <c r="AL346" t="s">
        <v>877</v>
      </c>
      <c r="AM346" t="s">
        <v>826</v>
      </c>
      <c r="AN346" t="s">
        <v>827</v>
      </c>
      <c r="AO346" t="s">
        <v>4234</v>
      </c>
      <c r="AP346" t="s">
        <v>4235</v>
      </c>
      <c r="AQ346" t="s">
        <v>74</v>
      </c>
      <c r="AR346" t="s">
        <v>4236</v>
      </c>
      <c r="AS346" t="s">
        <v>4237</v>
      </c>
      <c r="AT346" t="s">
        <v>2502</v>
      </c>
      <c r="AU346">
        <v>1998</v>
      </c>
      <c r="AV346">
        <v>23</v>
      </c>
      <c r="AW346">
        <v>1</v>
      </c>
      <c r="AX346" t="s">
        <v>74</v>
      </c>
      <c r="AY346" t="s">
        <v>74</v>
      </c>
      <c r="AZ346" t="s">
        <v>74</v>
      </c>
      <c r="BA346" t="s">
        <v>74</v>
      </c>
      <c r="BB346">
        <v>53</v>
      </c>
      <c r="BC346">
        <v>67</v>
      </c>
      <c r="BD346" t="s">
        <v>74</v>
      </c>
      <c r="BE346" t="s">
        <v>4238</v>
      </c>
      <c r="BF346" t="str">
        <f>HYPERLINK("http://dx.doi.org/10.1002/(SICI)1096-9837(199801)23:1&lt;53::AID-ESP817&gt;3.0.CO;2-O","http://dx.doi.org/10.1002/(SICI)1096-9837(199801)23:1&lt;53::AID-ESP817&gt;3.0.CO;2-O")</f>
        <v>http://dx.doi.org/10.1002/(SICI)1096-9837(199801)23:1&lt;53::AID-ESP817&gt;3.0.CO;2-O</v>
      </c>
      <c r="BG346" t="s">
        <v>74</v>
      </c>
      <c r="BH346" t="s">
        <v>74</v>
      </c>
      <c r="BI346">
        <v>15</v>
      </c>
      <c r="BJ346" t="s">
        <v>4239</v>
      </c>
      <c r="BK346" t="s">
        <v>98</v>
      </c>
      <c r="BL346" t="s">
        <v>4240</v>
      </c>
      <c r="BM346" t="s">
        <v>4241</v>
      </c>
      <c r="BN346" t="s">
        <v>74</v>
      </c>
      <c r="BO346" t="s">
        <v>74</v>
      </c>
      <c r="BP346" t="s">
        <v>74</v>
      </c>
      <c r="BQ346" t="s">
        <v>74</v>
      </c>
      <c r="BR346" t="s">
        <v>101</v>
      </c>
      <c r="BS346" t="s">
        <v>4242</v>
      </c>
      <c r="BT346" t="str">
        <f>HYPERLINK("https%3A%2F%2Fwww.webofscience.com%2Fwos%2Fwoscc%2Ffull-record%2FWOS:000071583500004","View Full Record in Web of Science")</f>
        <v>View Full Record in Web of Science</v>
      </c>
    </row>
    <row r="347" spans="1:72" x14ac:dyDescent="0.15">
      <c r="A347" t="s">
        <v>72</v>
      </c>
      <c r="B347" t="s">
        <v>4243</v>
      </c>
      <c r="C347" t="s">
        <v>74</v>
      </c>
      <c r="D347" t="s">
        <v>74</v>
      </c>
      <c r="E347" t="s">
        <v>74</v>
      </c>
      <c r="F347" t="s">
        <v>4243</v>
      </c>
      <c r="G347" t="s">
        <v>74</v>
      </c>
      <c r="H347" t="s">
        <v>74</v>
      </c>
      <c r="I347" t="s">
        <v>4244</v>
      </c>
      <c r="J347" t="s">
        <v>4245</v>
      </c>
      <c r="K347" t="s">
        <v>74</v>
      </c>
      <c r="L347" t="s">
        <v>74</v>
      </c>
      <c r="M347" t="s">
        <v>77</v>
      </c>
      <c r="N347" t="s">
        <v>78</v>
      </c>
      <c r="O347" t="s">
        <v>74</v>
      </c>
      <c r="P347" t="s">
        <v>74</v>
      </c>
      <c r="Q347" t="s">
        <v>74</v>
      </c>
      <c r="R347" t="s">
        <v>74</v>
      </c>
      <c r="S347" t="s">
        <v>74</v>
      </c>
      <c r="T347" t="s">
        <v>4246</v>
      </c>
      <c r="U347" t="s">
        <v>4247</v>
      </c>
      <c r="V347" t="s">
        <v>4248</v>
      </c>
      <c r="W347" t="s">
        <v>4249</v>
      </c>
      <c r="X347" t="s">
        <v>4250</v>
      </c>
      <c r="Y347" t="s">
        <v>4251</v>
      </c>
      <c r="Z347" t="s">
        <v>74</v>
      </c>
      <c r="AA347" t="s">
        <v>74</v>
      </c>
      <c r="AB347" t="s">
        <v>74</v>
      </c>
      <c r="AC347" t="s">
        <v>74</v>
      </c>
      <c r="AD347" t="s">
        <v>74</v>
      </c>
      <c r="AE347" t="s">
        <v>74</v>
      </c>
      <c r="AF347" t="s">
        <v>74</v>
      </c>
      <c r="AG347">
        <v>84</v>
      </c>
      <c r="AH347">
        <v>33</v>
      </c>
      <c r="AI347">
        <v>37</v>
      </c>
      <c r="AJ347">
        <v>0</v>
      </c>
      <c r="AK347">
        <v>10</v>
      </c>
      <c r="AL347" t="s">
        <v>4252</v>
      </c>
      <c r="AM347" t="s">
        <v>4103</v>
      </c>
      <c r="AN347" t="s">
        <v>4253</v>
      </c>
      <c r="AO347" t="s">
        <v>4254</v>
      </c>
      <c r="AP347" t="s">
        <v>74</v>
      </c>
      <c r="AQ347" t="s">
        <v>74</v>
      </c>
      <c r="AR347" t="s">
        <v>4255</v>
      </c>
      <c r="AS347" t="s">
        <v>4256</v>
      </c>
      <c r="AT347" t="s">
        <v>74</v>
      </c>
      <c r="AU347">
        <v>1998</v>
      </c>
      <c r="AV347">
        <v>91</v>
      </c>
      <c r="AW347">
        <v>2</v>
      </c>
      <c r="AX347" t="s">
        <v>74</v>
      </c>
      <c r="AY347" t="s">
        <v>74</v>
      </c>
      <c r="AZ347" t="s">
        <v>74</v>
      </c>
      <c r="BA347" t="s">
        <v>74</v>
      </c>
      <c r="BB347">
        <v>293</v>
      </c>
      <c r="BC347">
        <v>306</v>
      </c>
      <c r="BD347" t="s">
        <v>74</v>
      </c>
      <c r="BE347" t="s">
        <v>74</v>
      </c>
      <c r="BF347" t="s">
        <v>74</v>
      </c>
      <c r="BG347" t="s">
        <v>74</v>
      </c>
      <c r="BH347" t="s">
        <v>74</v>
      </c>
      <c r="BI347">
        <v>14</v>
      </c>
      <c r="BJ347" t="s">
        <v>471</v>
      </c>
      <c r="BK347" t="s">
        <v>98</v>
      </c>
      <c r="BL347" t="s">
        <v>471</v>
      </c>
      <c r="BM347" t="s">
        <v>4257</v>
      </c>
      <c r="BN347" t="s">
        <v>74</v>
      </c>
      <c r="BO347" t="s">
        <v>74</v>
      </c>
      <c r="BP347" t="s">
        <v>74</v>
      </c>
      <c r="BQ347" t="s">
        <v>74</v>
      </c>
      <c r="BR347" t="s">
        <v>101</v>
      </c>
      <c r="BS347" t="s">
        <v>4258</v>
      </c>
      <c r="BT347" t="str">
        <f>HYPERLINK("https%3A%2F%2Fwww.webofscience.com%2Fwos%2Fwoscc%2Ffull-record%2FWOS:000076570700009","View Full Record in Web of Science")</f>
        <v>View Full Record in Web of Science</v>
      </c>
    </row>
    <row r="348" spans="1:72" x14ac:dyDescent="0.15">
      <c r="A348" t="s">
        <v>72</v>
      </c>
      <c r="B348" t="s">
        <v>4259</v>
      </c>
      <c r="C348" t="s">
        <v>74</v>
      </c>
      <c r="D348" t="s">
        <v>74</v>
      </c>
      <c r="E348" t="s">
        <v>74</v>
      </c>
      <c r="F348" t="s">
        <v>4259</v>
      </c>
      <c r="G348" t="s">
        <v>74</v>
      </c>
      <c r="H348" t="s">
        <v>74</v>
      </c>
      <c r="I348" t="s">
        <v>4260</v>
      </c>
      <c r="J348" t="s">
        <v>4261</v>
      </c>
      <c r="K348" t="s">
        <v>74</v>
      </c>
      <c r="L348" t="s">
        <v>74</v>
      </c>
      <c r="M348" t="s">
        <v>77</v>
      </c>
      <c r="N348" t="s">
        <v>78</v>
      </c>
      <c r="O348" t="s">
        <v>74</v>
      </c>
      <c r="P348" t="s">
        <v>74</v>
      </c>
      <c r="Q348" t="s">
        <v>74</v>
      </c>
      <c r="R348" t="s">
        <v>74</v>
      </c>
      <c r="S348" t="s">
        <v>74</v>
      </c>
      <c r="T348" t="s">
        <v>4262</v>
      </c>
      <c r="U348" t="s">
        <v>4263</v>
      </c>
      <c r="V348" t="s">
        <v>4264</v>
      </c>
      <c r="W348" t="s">
        <v>4265</v>
      </c>
      <c r="X348" t="s">
        <v>4266</v>
      </c>
      <c r="Y348" t="s">
        <v>4267</v>
      </c>
      <c r="Z348" t="s">
        <v>4268</v>
      </c>
      <c r="AA348" t="s">
        <v>74</v>
      </c>
      <c r="AB348" t="s">
        <v>74</v>
      </c>
      <c r="AC348" t="s">
        <v>74</v>
      </c>
      <c r="AD348" t="s">
        <v>74</v>
      </c>
      <c r="AE348" t="s">
        <v>74</v>
      </c>
      <c r="AF348" t="s">
        <v>74</v>
      </c>
      <c r="AG348">
        <v>49</v>
      </c>
      <c r="AH348">
        <v>33</v>
      </c>
      <c r="AI348">
        <v>38</v>
      </c>
      <c r="AJ348">
        <v>1</v>
      </c>
      <c r="AK348">
        <v>12</v>
      </c>
      <c r="AL348" t="s">
        <v>1029</v>
      </c>
      <c r="AM348" t="s">
        <v>1030</v>
      </c>
      <c r="AN348" t="s">
        <v>1031</v>
      </c>
      <c r="AO348" t="s">
        <v>4269</v>
      </c>
      <c r="AP348" t="s">
        <v>74</v>
      </c>
      <c r="AQ348" t="s">
        <v>74</v>
      </c>
      <c r="AR348" t="s">
        <v>4270</v>
      </c>
      <c r="AS348" t="s">
        <v>4271</v>
      </c>
      <c r="AT348" t="s">
        <v>3861</v>
      </c>
      <c r="AU348">
        <v>1998</v>
      </c>
      <c r="AV348">
        <v>105</v>
      </c>
      <c r="AW348" t="s">
        <v>1508</v>
      </c>
      <c r="AX348" t="s">
        <v>74</v>
      </c>
      <c r="AY348" t="s">
        <v>74</v>
      </c>
      <c r="AZ348" t="s">
        <v>74</v>
      </c>
      <c r="BA348" t="s">
        <v>74</v>
      </c>
      <c r="BB348">
        <v>235</v>
      </c>
      <c r="BC348">
        <v>256</v>
      </c>
      <c r="BD348" t="s">
        <v>74</v>
      </c>
      <c r="BE348" t="s">
        <v>4272</v>
      </c>
      <c r="BF348" t="str">
        <f>HYPERLINK("http://dx.doi.org/10.1016/S0304-3800(97)00167-1","http://dx.doi.org/10.1016/S0304-3800(97)00167-1")</f>
        <v>http://dx.doi.org/10.1016/S0304-3800(97)00167-1</v>
      </c>
      <c r="BG348" t="s">
        <v>74</v>
      </c>
      <c r="BH348" t="s">
        <v>74</v>
      </c>
      <c r="BI348">
        <v>22</v>
      </c>
      <c r="BJ348" t="s">
        <v>1828</v>
      </c>
      <c r="BK348" t="s">
        <v>98</v>
      </c>
      <c r="BL348" t="s">
        <v>1545</v>
      </c>
      <c r="BM348" t="s">
        <v>4273</v>
      </c>
      <c r="BN348" t="s">
        <v>74</v>
      </c>
      <c r="BO348" t="s">
        <v>74</v>
      </c>
      <c r="BP348" t="s">
        <v>74</v>
      </c>
      <c r="BQ348" t="s">
        <v>74</v>
      </c>
      <c r="BR348" t="s">
        <v>101</v>
      </c>
      <c r="BS348" t="s">
        <v>4274</v>
      </c>
      <c r="BT348" t="str">
        <f>HYPERLINK("https%3A%2F%2Fwww.webofscience.com%2Fwos%2Fwoscc%2Ffull-record%2FWOS:000072351600006","View Full Record in Web of Science")</f>
        <v>View Full Record in Web of Science</v>
      </c>
    </row>
    <row r="349" spans="1:72" x14ac:dyDescent="0.15">
      <c r="A349" t="s">
        <v>72</v>
      </c>
      <c r="B349" t="s">
        <v>4275</v>
      </c>
      <c r="C349" t="s">
        <v>74</v>
      </c>
      <c r="D349" t="s">
        <v>74</v>
      </c>
      <c r="E349" t="s">
        <v>74</v>
      </c>
      <c r="F349" t="s">
        <v>4275</v>
      </c>
      <c r="G349" t="s">
        <v>74</v>
      </c>
      <c r="H349" t="s">
        <v>74</v>
      </c>
      <c r="I349" t="s">
        <v>4276</v>
      </c>
      <c r="J349" t="s">
        <v>4277</v>
      </c>
      <c r="K349" t="s">
        <v>74</v>
      </c>
      <c r="L349" t="s">
        <v>74</v>
      </c>
      <c r="M349" t="s">
        <v>77</v>
      </c>
      <c r="N349" t="s">
        <v>78</v>
      </c>
      <c r="O349" t="s">
        <v>74</v>
      </c>
      <c r="P349" t="s">
        <v>74</v>
      </c>
      <c r="Q349" t="s">
        <v>74</v>
      </c>
      <c r="R349" t="s">
        <v>74</v>
      </c>
      <c r="S349" t="s">
        <v>74</v>
      </c>
      <c r="T349" t="s">
        <v>74</v>
      </c>
      <c r="U349" t="s">
        <v>4278</v>
      </c>
      <c r="V349" t="s">
        <v>4279</v>
      </c>
      <c r="W349" t="s">
        <v>4280</v>
      </c>
      <c r="X349" t="s">
        <v>4281</v>
      </c>
      <c r="Y349" t="s">
        <v>4282</v>
      </c>
      <c r="Z349" t="s">
        <v>74</v>
      </c>
      <c r="AA349" t="s">
        <v>4283</v>
      </c>
      <c r="AB349" t="s">
        <v>4284</v>
      </c>
      <c r="AC349" t="s">
        <v>74</v>
      </c>
      <c r="AD349" t="s">
        <v>74</v>
      </c>
      <c r="AE349" t="s">
        <v>74</v>
      </c>
      <c r="AF349" t="s">
        <v>74</v>
      </c>
      <c r="AG349">
        <v>54</v>
      </c>
      <c r="AH349">
        <v>13</v>
      </c>
      <c r="AI349">
        <v>17</v>
      </c>
      <c r="AJ349">
        <v>0</v>
      </c>
      <c r="AK349">
        <v>10</v>
      </c>
      <c r="AL349" t="s">
        <v>4285</v>
      </c>
      <c r="AM349" t="s">
        <v>4286</v>
      </c>
      <c r="AN349" t="s">
        <v>4287</v>
      </c>
      <c r="AO349" t="s">
        <v>4288</v>
      </c>
      <c r="AP349" t="s">
        <v>74</v>
      </c>
      <c r="AQ349" t="s">
        <v>74</v>
      </c>
      <c r="AR349" t="s">
        <v>4289</v>
      </c>
      <c r="AS349" t="s">
        <v>4290</v>
      </c>
      <c r="AT349" t="s">
        <v>4291</v>
      </c>
      <c r="AU349">
        <v>1998</v>
      </c>
      <c r="AV349">
        <v>93</v>
      </c>
      <c r="AW349">
        <v>1</v>
      </c>
      <c r="AX349" t="s">
        <v>74</v>
      </c>
      <c r="AY349" t="s">
        <v>74</v>
      </c>
      <c r="AZ349" t="s">
        <v>74</v>
      </c>
      <c r="BA349" t="s">
        <v>74</v>
      </c>
      <c r="BB349">
        <v>32</v>
      </c>
      <c r="BC349">
        <v>46</v>
      </c>
      <c r="BD349" t="s">
        <v>74</v>
      </c>
      <c r="BE349" t="s">
        <v>4292</v>
      </c>
      <c r="BF349" t="str">
        <f>HYPERLINK("http://dx.doi.org/10.2113/gsecongeo.93.1.32","http://dx.doi.org/10.2113/gsecongeo.93.1.32")</f>
        <v>http://dx.doi.org/10.2113/gsecongeo.93.1.32</v>
      </c>
      <c r="BG349" t="s">
        <v>74</v>
      </c>
      <c r="BH349" t="s">
        <v>74</v>
      </c>
      <c r="BI349">
        <v>15</v>
      </c>
      <c r="BJ349" t="s">
        <v>143</v>
      </c>
      <c r="BK349" t="s">
        <v>98</v>
      </c>
      <c r="BL349" t="s">
        <v>143</v>
      </c>
      <c r="BM349" t="s">
        <v>4293</v>
      </c>
      <c r="BN349" t="s">
        <v>74</v>
      </c>
      <c r="BO349" t="s">
        <v>74</v>
      </c>
      <c r="BP349" t="s">
        <v>74</v>
      </c>
      <c r="BQ349" t="s">
        <v>74</v>
      </c>
      <c r="BR349" t="s">
        <v>101</v>
      </c>
      <c r="BS349" t="s">
        <v>4294</v>
      </c>
      <c r="BT349" t="str">
        <f>HYPERLINK("https%3A%2F%2Fwww.webofscience.com%2Fwos%2Fwoscc%2Ffull-record%2FWOS:000072330900003","View Full Record in Web of Science")</f>
        <v>View Full Record in Web of Science</v>
      </c>
    </row>
    <row r="350" spans="1:72" x14ac:dyDescent="0.15">
      <c r="A350" t="s">
        <v>72</v>
      </c>
      <c r="B350" t="s">
        <v>4295</v>
      </c>
      <c r="C350" t="s">
        <v>74</v>
      </c>
      <c r="D350" t="s">
        <v>74</v>
      </c>
      <c r="E350" t="s">
        <v>74</v>
      </c>
      <c r="F350" t="s">
        <v>4295</v>
      </c>
      <c r="G350" t="s">
        <v>74</v>
      </c>
      <c r="H350" t="s">
        <v>74</v>
      </c>
      <c r="I350" t="s">
        <v>4296</v>
      </c>
      <c r="J350" t="s">
        <v>4297</v>
      </c>
      <c r="K350" t="s">
        <v>74</v>
      </c>
      <c r="L350" t="s">
        <v>74</v>
      </c>
      <c r="M350" t="s">
        <v>77</v>
      </c>
      <c r="N350" t="s">
        <v>379</v>
      </c>
      <c r="O350" t="s">
        <v>4298</v>
      </c>
      <c r="P350" t="s">
        <v>4299</v>
      </c>
      <c r="Q350" t="s">
        <v>4300</v>
      </c>
      <c r="R350" t="s">
        <v>74</v>
      </c>
      <c r="S350" t="s">
        <v>74</v>
      </c>
      <c r="T350" t="s">
        <v>4301</v>
      </c>
      <c r="U350" t="s">
        <v>4302</v>
      </c>
      <c r="V350" t="s">
        <v>4303</v>
      </c>
      <c r="W350" t="s">
        <v>4304</v>
      </c>
      <c r="X350" t="s">
        <v>4305</v>
      </c>
      <c r="Y350" t="s">
        <v>4306</v>
      </c>
      <c r="Z350" t="s">
        <v>74</v>
      </c>
      <c r="AA350" t="s">
        <v>74</v>
      </c>
      <c r="AB350" t="s">
        <v>74</v>
      </c>
      <c r="AC350" t="s">
        <v>74</v>
      </c>
      <c r="AD350" t="s">
        <v>74</v>
      </c>
      <c r="AE350" t="s">
        <v>74</v>
      </c>
      <c r="AF350" t="s">
        <v>74</v>
      </c>
      <c r="AG350">
        <v>16</v>
      </c>
      <c r="AH350">
        <v>1</v>
      </c>
      <c r="AI350">
        <v>1</v>
      </c>
      <c r="AJ350">
        <v>0</v>
      </c>
      <c r="AK350">
        <v>12</v>
      </c>
      <c r="AL350" t="s">
        <v>4307</v>
      </c>
      <c r="AM350" t="s">
        <v>4308</v>
      </c>
      <c r="AN350" t="s">
        <v>4309</v>
      </c>
      <c r="AO350" t="s">
        <v>4310</v>
      </c>
      <c r="AP350" t="s">
        <v>74</v>
      </c>
      <c r="AQ350" t="s">
        <v>74</v>
      </c>
      <c r="AR350" t="s">
        <v>4297</v>
      </c>
      <c r="AS350" t="s">
        <v>4311</v>
      </c>
      <c r="AT350" t="s">
        <v>4291</v>
      </c>
      <c r="AU350">
        <v>1998</v>
      </c>
      <c r="AV350">
        <v>9</v>
      </c>
      <c r="AW350">
        <v>1</v>
      </c>
      <c r="AX350" t="s">
        <v>74</v>
      </c>
      <c r="AY350" t="s">
        <v>74</v>
      </c>
      <c r="AZ350" t="s">
        <v>74</v>
      </c>
      <c r="BA350" t="s">
        <v>74</v>
      </c>
      <c r="BB350">
        <v>15</v>
      </c>
      <c r="BC350">
        <v>30</v>
      </c>
      <c r="BD350" t="s">
        <v>74</v>
      </c>
      <c r="BE350" t="s">
        <v>4312</v>
      </c>
      <c r="BF350" t="str">
        <f>HYPERLINK("http://dx.doi.org/10.1002/(SICI)1099-095X(199801/02)9:1&lt;15::AID-ENV282&gt;3.0.CO;2-6","http://dx.doi.org/10.1002/(SICI)1099-095X(199801/02)9:1&lt;15::AID-ENV282&gt;3.0.CO;2-6")</f>
        <v>http://dx.doi.org/10.1002/(SICI)1099-095X(199801/02)9:1&lt;15::AID-ENV282&gt;3.0.CO;2-6</v>
      </c>
      <c r="BG350" t="s">
        <v>74</v>
      </c>
      <c r="BH350" t="s">
        <v>74</v>
      </c>
      <c r="BI350">
        <v>16</v>
      </c>
      <c r="BJ350" t="s">
        <v>4313</v>
      </c>
      <c r="BK350" t="s">
        <v>397</v>
      </c>
      <c r="BL350" t="s">
        <v>4314</v>
      </c>
      <c r="BM350" t="s">
        <v>4315</v>
      </c>
      <c r="BN350" t="s">
        <v>74</v>
      </c>
      <c r="BO350" t="s">
        <v>74</v>
      </c>
      <c r="BP350" t="s">
        <v>74</v>
      </c>
      <c r="BQ350" t="s">
        <v>74</v>
      </c>
      <c r="BR350" t="s">
        <v>101</v>
      </c>
      <c r="BS350" t="s">
        <v>4316</v>
      </c>
      <c r="BT350" t="str">
        <f>HYPERLINK("https%3A%2F%2Fwww.webofscience.com%2Fwos%2Fwoscc%2Ffull-record%2FWOS:000072455700003","View Full Record in Web of Science")</f>
        <v>View Full Record in Web of Science</v>
      </c>
    </row>
    <row r="351" spans="1:72" x14ac:dyDescent="0.15">
      <c r="A351" t="s">
        <v>72</v>
      </c>
      <c r="B351" t="s">
        <v>4317</v>
      </c>
      <c r="C351" t="s">
        <v>74</v>
      </c>
      <c r="D351" t="s">
        <v>74</v>
      </c>
      <c r="E351" t="s">
        <v>74</v>
      </c>
      <c r="F351" t="s">
        <v>4317</v>
      </c>
      <c r="G351" t="s">
        <v>74</v>
      </c>
      <c r="H351" t="s">
        <v>74</v>
      </c>
      <c r="I351" t="s">
        <v>4318</v>
      </c>
      <c r="J351" t="s">
        <v>4319</v>
      </c>
      <c r="K351" t="s">
        <v>74</v>
      </c>
      <c r="L351" t="s">
        <v>74</v>
      </c>
      <c r="M351" t="s">
        <v>2735</v>
      </c>
      <c r="N351" t="s">
        <v>78</v>
      </c>
      <c r="O351" t="s">
        <v>74</v>
      </c>
      <c r="P351" t="s">
        <v>74</v>
      </c>
      <c r="Q351" t="s">
        <v>74</v>
      </c>
      <c r="R351" t="s">
        <v>74</v>
      </c>
      <c r="S351" t="s">
        <v>74</v>
      </c>
      <c r="T351" t="s">
        <v>4320</v>
      </c>
      <c r="U351" t="s">
        <v>74</v>
      </c>
      <c r="V351" t="s">
        <v>4321</v>
      </c>
      <c r="W351" t="s">
        <v>4322</v>
      </c>
      <c r="X351" t="s">
        <v>4323</v>
      </c>
      <c r="Y351" t="s">
        <v>4324</v>
      </c>
      <c r="Z351" t="s">
        <v>74</v>
      </c>
      <c r="AA351" t="s">
        <v>4325</v>
      </c>
      <c r="AB351" t="s">
        <v>4326</v>
      </c>
      <c r="AC351" t="s">
        <v>74</v>
      </c>
      <c r="AD351" t="s">
        <v>74</v>
      </c>
      <c r="AE351" t="s">
        <v>74</v>
      </c>
      <c r="AF351" t="s">
        <v>74</v>
      </c>
      <c r="AG351">
        <v>19</v>
      </c>
      <c r="AH351">
        <v>2</v>
      </c>
      <c r="AI351">
        <v>2</v>
      </c>
      <c r="AJ351">
        <v>0</v>
      </c>
      <c r="AK351">
        <v>2</v>
      </c>
      <c r="AL351" t="s">
        <v>4327</v>
      </c>
      <c r="AM351" t="s">
        <v>4328</v>
      </c>
      <c r="AN351" t="s">
        <v>4329</v>
      </c>
      <c r="AO351" t="s">
        <v>4330</v>
      </c>
      <c r="AP351" t="s">
        <v>74</v>
      </c>
      <c r="AQ351" t="s">
        <v>74</v>
      </c>
      <c r="AR351" t="s">
        <v>4331</v>
      </c>
      <c r="AS351" t="s">
        <v>4332</v>
      </c>
      <c r="AT351" t="s">
        <v>74</v>
      </c>
      <c r="AU351">
        <v>1998</v>
      </c>
      <c r="AV351">
        <v>48</v>
      </c>
      <c r="AW351">
        <v>3</v>
      </c>
      <c r="AX351" t="s">
        <v>74</v>
      </c>
      <c r="AY351" t="s">
        <v>74</v>
      </c>
      <c r="AZ351" t="s">
        <v>74</v>
      </c>
      <c r="BA351" t="s">
        <v>74</v>
      </c>
      <c r="BB351">
        <v>201</v>
      </c>
      <c r="BC351">
        <v>212</v>
      </c>
      <c r="BD351" t="s">
        <v>74</v>
      </c>
      <c r="BE351" t="s">
        <v>74</v>
      </c>
      <c r="BF351" t="s">
        <v>74</v>
      </c>
      <c r="BG351" t="s">
        <v>74</v>
      </c>
      <c r="BH351" t="s">
        <v>74</v>
      </c>
      <c r="BI351">
        <v>12</v>
      </c>
      <c r="BJ351" t="s">
        <v>4333</v>
      </c>
      <c r="BK351" t="s">
        <v>1619</v>
      </c>
      <c r="BL351" t="s">
        <v>4334</v>
      </c>
      <c r="BM351" t="s">
        <v>4335</v>
      </c>
      <c r="BN351">
        <v>11542388</v>
      </c>
      <c r="BO351" t="s">
        <v>74</v>
      </c>
      <c r="BP351" t="s">
        <v>74</v>
      </c>
      <c r="BQ351" t="s">
        <v>74</v>
      </c>
      <c r="BR351" t="s">
        <v>101</v>
      </c>
      <c r="BS351" t="s">
        <v>4336</v>
      </c>
      <c r="BT351" t="str">
        <f>HYPERLINK("https%3A%2F%2Fwww.webofscience.com%2Fwos%2Fwoscc%2Ffull-record%2FWOS:000077555000005","View Full Record in Web of Science")</f>
        <v>View Full Record in Web of Science</v>
      </c>
    </row>
    <row r="352" spans="1:72" x14ac:dyDescent="0.15">
      <c r="A352" t="s">
        <v>72</v>
      </c>
      <c r="B352" t="s">
        <v>4337</v>
      </c>
      <c r="C352" t="s">
        <v>74</v>
      </c>
      <c r="D352" t="s">
        <v>74</v>
      </c>
      <c r="E352" t="s">
        <v>74</v>
      </c>
      <c r="F352" t="s">
        <v>4337</v>
      </c>
      <c r="G352" t="s">
        <v>74</v>
      </c>
      <c r="H352" t="s">
        <v>74</v>
      </c>
      <c r="I352" t="s">
        <v>4338</v>
      </c>
      <c r="J352" t="s">
        <v>4339</v>
      </c>
      <c r="K352" t="s">
        <v>74</v>
      </c>
      <c r="L352" t="s">
        <v>74</v>
      </c>
      <c r="M352" t="s">
        <v>77</v>
      </c>
      <c r="N352" t="s">
        <v>78</v>
      </c>
      <c r="O352" t="s">
        <v>74</v>
      </c>
      <c r="P352" t="s">
        <v>74</v>
      </c>
      <c r="Q352" t="s">
        <v>74</v>
      </c>
      <c r="R352" t="s">
        <v>74</v>
      </c>
      <c r="S352" t="s">
        <v>74</v>
      </c>
      <c r="T352" t="s">
        <v>4340</v>
      </c>
      <c r="U352" t="s">
        <v>4341</v>
      </c>
      <c r="V352" t="s">
        <v>4342</v>
      </c>
      <c r="W352" t="s">
        <v>4343</v>
      </c>
      <c r="X352" t="s">
        <v>569</v>
      </c>
      <c r="Y352" t="s">
        <v>4344</v>
      </c>
      <c r="Z352" t="s">
        <v>4345</v>
      </c>
      <c r="AA352" t="s">
        <v>74</v>
      </c>
      <c r="AB352" t="s">
        <v>74</v>
      </c>
      <c r="AC352" t="s">
        <v>74</v>
      </c>
      <c r="AD352" t="s">
        <v>74</v>
      </c>
      <c r="AE352" t="s">
        <v>74</v>
      </c>
      <c r="AF352" t="s">
        <v>74</v>
      </c>
      <c r="AG352">
        <v>41</v>
      </c>
      <c r="AH352">
        <v>40</v>
      </c>
      <c r="AI352">
        <v>45</v>
      </c>
      <c r="AJ352">
        <v>0</v>
      </c>
      <c r="AK352">
        <v>15</v>
      </c>
      <c r="AL352" t="s">
        <v>4346</v>
      </c>
      <c r="AM352" t="s">
        <v>4216</v>
      </c>
      <c r="AN352" t="s">
        <v>4347</v>
      </c>
      <c r="AO352" t="s">
        <v>4348</v>
      </c>
      <c r="AP352" t="s">
        <v>4349</v>
      </c>
      <c r="AQ352" t="s">
        <v>74</v>
      </c>
      <c r="AR352" t="s">
        <v>4339</v>
      </c>
      <c r="AS352" t="s">
        <v>4350</v>
      </c>
      <c r="AT352" t="s">
        <v>2502</v>
      </c>
      <c r="AU352">
        <v>1998</v>
      </c>
      <c r="AV352">
        <v>2</v>
      </c>
      <c r="AW352">
        <v>1</v>
      </c>
      <c r="AX352" t="s">
        <v>74</v>
      </c>
      <c r="AY352" t="s">
        <v>74</v>
      </c>
      <c r="AZ352" t="s">
        <v>74</v>
      </c>
      <c r="BA352" t="s">
        <v>74</v>
      </c>
      <c r="BB352">
        <v>41</v>
      </c>
      <c r="BC352">
        <v>49</v>
      </c>
      <c r="BD352" t="s">
        <v>74</v>
      </c>
      <c r="BE352" t="s">
        <v>4351</v>
      </c>
      <c r="BF352" t="str">
        <f>HYPERLINK("http://dx.doi.org/10.1007/s007920050041","http://dx.doi.org/10.1007/s007920050041")</f>
        <v>http://dx.doi.org/10.1007/s007920050041</v>
      </c>
      <c r="BG352" t="s">
        <v>74</v>
      </c>
      <c r="BH352" t="s">
        <v>74</v>
      </c>
      <c r="BI352">
        <v>9</v>
      </c>
      <c r="BJ352" t="s">
        <v>4352</v>
      </c>
      <c r="BK352" t="s">
        <v>98</v>
      </c>
      <c r="BL352" t="s">
        <v>4352</v>
      </c>
      <c r="BM352" t="s">
        <v>4353</v>
      </c>
      <c r="BN352">
        <v>9676242</v>
      </c>
      <c r="BO352" t="s">
        <v>74</v>
      </c>
      <c r="BP352" t="s">
        <v>74</v>
      </c>
      <c r="BQ352" t="s">
        <v>74</v>
      </c>
      <c r="BR352" t="s">
        <v>101</v>
      </c>
      <c r="BS352" t="s">
        <v>4354</v>
      </c>
      <c r="BT352" t="str">
        <f>HYPERLINK("https%3A%2F%2Fwww.webofscience.com%2Fwos%2Fwoscc%2Ffull-record%2FWOS:000072044400006","View Full Record in Web of Science")</f>
        <v>View Full Record in Web of Science</v>
      </c>
    </row>
    <row r="353" spans="1:72" x14ac:dyDescent="0.15">
      <c r="A353" t="s">
        <v>72</v>
      </c>
      <c r="B353" t="s">
        <v>4355</v>
      </c>
      <c r="C353" t="s">
        <v>74</v>
      </c>
      <c r="D353" t="s">
        <v>74</v>
      </c>
      <c r="E353" t="s">
        <v>74</v>
      </c>
      <c r="F353" t="s">
        <v>4355</v>
      </c>
      <c r="G353" t="s">
        <v>74</v>
      </c>
      <c r="H353" t="s">
        <v>74</v>
      </c>
      <c r="I353" t="s">
        <v>4356</v>
      </c>
      <c r="J353" t="s">
        <v>4357</v>
      </c>
      <c r="K353" t="s">
        <v>74</v>
      </c>
      <c r="L353" t="s">
        <v>74</v>
      </c>
      <c r="M353" t="s">
        <v>77</v>
      </c>
      <c r="N353" t="s">
        <v>78</v>
      </c>
      <c r="O353" t="s">
        <v>74</v>
      </c>
      <c r="P353" t="s">
        <v>74</v>
      </c>
      <c r="Q353" t="s">
        <v>74</v>
      </c>
      <c r="R353" t="s">
        <v>74</v>
      </c>
      <c r="S353" t="s">
        <v>74</v>
      </c>
      <c r="T353" t="s">
        <v>74</v>
      </c>
      <c r="U353" t="s">
        <v>4358</v>
      </c>
      <c r="V353" t="s">
        <v>4359</v>
      </c>
      <c r="W353" t="s">
        <v>386</v>
      </c>
      <c r="X353" t="s">
        <v>387</v>
      </c>
      <c r="Y353" t="s">
        <v>2158</v>
      </c>
      <c r="Z353" t="s">
        <v>74</v>
      </c>
      <c r="AA353" t="s">
        <v>74</v>
      </c>
      <c r="AB353" t="s">
        <v>74</v>
      </c>
      <c r="AC353" t="s">
        <v>74</v>
      </c>
      <c r="AD353" t="s">
        <v>74</v>
      </c>
      <c r="AE353" t="s">
        <v>74</v>
      </c>
      <c r="AF353" t="s">
        <v>74</v>
      </c>
      <c r="AG353">
        <v>74</v>
      </c>
      <c r="AH353">
        <v>100</v>
      </c>
      <c r="AI353">
        <v>101</v>
      </c>
      <c r="AJ353">
        <v>0</v>
      </c>
      <c r="AK353">
        <v>12</v>
      </c>
      <c r="AL353" t="s">
        <v>2697</v>
      </c>
      <c r="AM353" t="s">
        <v>115</v>
      </c>
      <c r="AN353" t="s">
        <v>4360</v>
      </c>
      <c r="AO353" t="s">
        <v>4361</v>
      </c>
      <c r="AP353" t="s">
        <v>74</v>
      </c>
      <c r="AQ353" t="s">
        <v>74</v>
      </c>
      <c r="AR353" t="s">
        <v>4362</v>
      </c>
      <c r="AS353" t="s">
        <v>4363</v>
      </c>
      <c r="AT353" t="s">
        <v>74</v>
      </c>
      <c r="AU353">
        <v>1998</v>
      </c>
      <c r="AV353">
        <v>110</v>
      </c>
      <c r="AW353" t="s">
        <v>74</v>
      </c>
      <c r="AX353" t="s">
        <v>74</v>
      </c>
      <c r="AY353" t="s">
        <v>74</v>
      </c>
      <c r="AZ353" t="s">
        <v>74</v>
      </c>
      <c r="BA353" t="s">
        <v>74</v>
      </c>
      <c r="BB353">
        <v>301</v>
      </c>
      <c r="BC353">
        <v>322</v>
      </c>
      <c r="BD353" t="s">
        <v>74</v>
      </c>
      <c r="BE353" t="s">
        <v>4364</v>
      </c>
      <c r="BF353" t="str">
        <f>HYPERLINK("http://dx.doi.org/10.1039/a801721b","http://dx.doi.org/10.1039/a801721b")</f>
        <v>http://dx.doi.org/10.1039/a801721b</v>
      </c>
      <c r="BG353" t="s">
        <v>74</v>
      </c>
      <c r="BH353" t="s">
        <v>74</v>
      </c>
      <c r="BI353">
        <v>22</v>
      </c>
      <c r="BJ353" t="s">
        <v>396</v>
      </c>
      <c r="BK353" t="s">
        <v>98</v>
      </c>
      <c r="BL353" t="s">
        <v>398</v>
      </c>
      <c r="BM353" t="s">
        <v>4365</v>
      </c>
      <c r="BN353" t="s">
        <v>74</v>
      </c>
      <c r="BO353" t="s">
        <v>74</v>
      </c>
      <c r="BP353" t="s">
        <v>74</v>
      </c>
      <c r="BQ353" t="s">
        <v>74</v>
      </c>
      <c r="BR353" t="s">
        <v>101</v>
      </c>
      <c r="BS353" t="s">
        <v>4366</v>
      </c>
      <c r="BT353" t="str">
        <f>HYPERLINK("https%3A%2F%2Fwww.webofscience.com%2Fwos%2Fwoscc%2Ffull-record%2FWOS:000077492000016","View Full Record in Web of Science")</f>
        <v>View Full Record in Web of Science</v>
      </c>
    </row>
    <row r="354" spans="1:72" x14ac:dyDescent="0.15">
      <c r="A354" t="s">
        <v>2175</v>
      </c>
      <c r="B354" t="s">
        <v>4367</v>
      </c>
      <c r="C354" t="s">
        <v>74</v>
      </c>
      <c r="D354" t="s">
        <v>4368</v>
      </c>
      <c r="E354" t="s">
        <v>74</v>
      </c>
      <c r="F354" t="s">
        <v>4367</v>
      </c>
      <c r="G354" t="s">
        <v>74</v>
      </c>
      <c r="H354" t="s">
        <v>74</v>
      </c>
      <c r="I354" t="s">
        <v>4369</v>
      </c>
      <c r="J354" t="s">
        <v>4370</v>
      </c>
      <c r="K354" t="s">
        <v>4371</v>
      </c>
      <c r="L354" t="s">
        <v>74</v>
      </c>
      <c r="M354" t="s">
        <v>77</v>
      </c>
      <c r="N354" t="s">
        <v>2180</v>
      </c>
      <c r="O354" t="s">
        <v>4372</v>
      </c>
      <c r="P354" t="s">
        <v>4373</v>
      </c>
      <c r="Q354" t="s">
        <v>4374</v>
      </c>
      <c r="R354" t="s">
        <v>74</v>
      </c>
      <c r="S354" t="s">
        <v>74</v>
      </c>
      <c r="T354" t="s">
        <v>74</v>
      </c>
      <c r="U354" t="s">
        <v>74</v>
      </c>
      <c r="V354" t="s">
        <v>4375</v>
      </c>
      <c r="W354" t="s">
        <v>4376</v>
      </c>
      <c r="X354" t="s">
        <v>4377</v>
      </c>
      <c r="Y354" t="s">
        <v>4378</v>
      </c>
      <c r="Z354" t="s">
        <v>74</v>
      </c>
      <c r="AA354" t="s">
        <v>74</v>
      </c>
      <c r="AB354" t="s">
        <v>74</v>
      </c>
      <c r="AC354" t="s">
        <v>74</v>
      </c>
      <c r="AD354" t="s">
        <v>74</v>
      </c>
      <c r="AE354" t="s">
        <v>74</v>
      </c>
      <c r="AF354" t="s">
        <v>74</v>
      </c>
      <c r="AG354">
        <v>0</v>
      </c>
      <c r="AH354">
        <v>1</v>
      </c>
      <c r="AI354">
        <v>1</v>
      </c>
      <c r="AJ354">
        <v>0</v>
      </c>
      <c r="AK354">
        <v>1</v>
      </c>
      <c r="AL354" t="s">
        <v>1632</v>
      </c>
      <c r="AM354" t="s">
        <v>4379</v>
      </c>
      <c r="AN354" t="s">
        <v>4380</v>
      </c>
      <c r="AO354" t="s">
        <v>4381</v>
      </c>
      <c r="AP354" t="s">
        <v>74</v>
      </c>
      <c r="AQ354" t="s">
        <v>4382</v>
      </c>
      <c r="AR354" t="s">
        <v>4383</v>
      </c>
      <c r="AS354" t="s">
        <v>74</v>
      </c>
      <c r="AT354" t="s">
        <v>74</v>
      </c>
      <c r="AU354">
        <v>1998</v>
      </c>
      <c r="AV354" t="s">
        <v>74</v>
      </c>
      <c r="AW354">
        <v>430</v>
      </c>
      <c r="AX354" t="s">
        <v>74</v>
      </c>
      <c r="AY354" t="s">
        <v>74</v>
      </c>
      <c r="AZ354" t="s">
        <v>74</v>
      </c>
      <c r="BA354" t="s">
        <v>74</v>
      </c>
      <c r="BB354">
        <v>352</v>
      </c>
      <c r="BC354">
        <v>353</v>
      </c>
      <c r="BD354" t="s">
        <v>74</v>
      </c>
      <c r="BE354" t="s">
        <v>4384</v>
      </c>
      <c r="BF354" t="str">
        <f>HYPERLINK("http://dx.doi.org/10.1063/1.55797","http://dx.doi.org/10.1063/1.55797")</f>
        <v>http://dx.doi.org/10.1063/1.55797</v>
      </c>
      <c r="BG354" t="s">
        <v>74</v>
      </c>
      <c r="BH354" t="s">
        <v>74</v>
      </c>
      <c r="BI354">
        <v>2</v>
      </c>
      <c r="BJ354" t="s">
        <v>4385</v>
      </c>
      <c r="BK354" t="s">
        <v>2189</v>
      </c>
      <c r="BL354" t="s">
        <v>4386</v>
      </c>
      <c r="BM354" t="s">
        <v>4387</v>
      </c>
      <c r="BN354" t="s">
        <v>74</v>
      </c>
      <c r="BO354" t="s">
        <v>74</v>
      </c>
      <c r="BP354" t="s">
        <v>74</v>
      </c>
      <c r="BQ354" t="s">
        <v>74</v>
      </c>
      <c r="BR354" t="s">
        <v>101</v>
      </c>
      <c r="BS354" t="s">
        <v>4388</v>
      </c>
      <c r="BT354" t="str">
        <f>HYPERLINK("https%3A%2F%2Fwww.webofscience.com%2Fwos%2Fwoscc%2Ffull-record%2FWOS:000075012400053","View Full Record in Web of Science")</f>
        <v>View Full Record in Web of Science</v>
      </c>
    </row>
    <row r="355" spans="1:72" x14ac:dyDescent="0.15">
      <c r="A355" t="s">
        <v>72</v>
      </c>
      <c r="B355" t="s">
        <v>4389</v>
      </c>
      <c r="C355" t="s">
        <v>74</v>
      </c>
      <c r="D355" t="s">
        <v>74</v>
      </c>
      <c r="E355" t="s">
        <v>74</v>
      </c>
      <c r="F355" t="s">
        <v>4389</v>
      </c>
      <c r="G355" t="s">
        <v>74</v>
      </c>
      <c r="H355" t="s">
        <v>74</v>
      </c>
      <c r="I355" t="s">
        <v>4390</v>
      </c>
      <c r="J355" t="s">
        <v>4391</v>
      </c>
      <c r="K355" t="s">
        <v>74</v>
      </c>
      <c r="L355" t="s">
        <v>74</v>
      </c>
      <c r="M355" t="s">
        <v>77</v>
      </c>
      <c r="N355" t="s">
        <v>78</v>
      </c>
      <c r="O355" t="s">
        <v>74</v>
      </c>
      <c r="P355" t="s">
        <v>74</v>
      </c>
      <c r="Q355" t="s">
        <v>74</v>
      </c>
      <c r="R355" t="s">
        <v>74</v>
      </c>
      <c r="S355" t="s">
        <v>74</v>
      </c>
      <c r="T355" t="s">
        <v>74</v>
      </c>
      <c r="U355" t="s">
        <v>4392</v>
      </c>
      <c r="V355" t="s">
        <v>4393</v>
      </c>
      <c r="W355" t="s">
        <v>4394</v>
      </c>
      <c r="X355" t="s">
        <v>4395</v>
      </c>
      <c r="Y355" t="s">
        <v>4396</v>
      </c>
      <c r="Z355" t="s">
        <v>74</v>
      </c>
      <c r="AA355" t="s">
        <v>4397</v>
      </c>
      <c r="AB355" t="s">
        <v>4398</v>
      </c>
      <c r="AC355" t="s">
        <v>74</v>
      </c>
      <c r="AD355" t="s">
        <v>74</v>
      </c>
      <c r="AE355" t="s">
        <v>74</v>
      </c>
      <c r="AF355" t="s">
        <v>74</v>
      </c>
      <c r="AG355">
        <v>18</v>
      </c>
      <c r="AH355">
        <v>66</v>
      </c>
      <c r="AI355">
        <v>79</v>
      </c>
      <c r="AJ355">
        <v>1</v>
      </c>
      <c r="AK355">
        <v>14</v>
      </c>
      <c r="AL355" t="s">
        <v>877</v>
      </c>
      <c r="AM355" t="s">
        <v>826</v>
      </c>
      <c r="AN355" t="s">
        <v>827</v>
      </c>
      <c r="AO355" t="s">
        <v>4399</v>
      </c>
      <c r="AP355" t="s">
        <v>4400</v>
      </c>
      <c r="AQ355" t="s">
        <v>74</v>
      </c>
      <c r="AR355" t="s">
        <v>4401</v>
      </c>
      <c r="AS355" t="s">
        <v>4402</v>
      </c>
      <c r="AT355" t="s">
        <v>74</v>
      </c>
      <c r="AU355">
        <v>1998</v>
      </c>
      <c r="AV355" t="s">
        <v>4403</v>
      </c>
      <c r="AW355" t="s">
        <v>694</v>
      </c>
      <c r="AX355" t="s">
        <v>74</v>
      </c>
      <c r="AY355" t="s">
        <v>74</v>
      </c>
      <c r="AZ355" t="s">
        <v>74</v>
      </c>
      <c r="BA355" t="s">
        <v>74</v>
      </c>
      <c r="BB355">
        <v>209</v>
      </c>
      <c r="BC355">
        <v>219</v>
      </c>
      <c r="BD355" t="s">
        <v>74</v>
      </c>
      <c r="BE355" t="s">
        <v>4404</v>
      </c>
      <c r="BF355" t="str">
        <f>HYPERLINK("http://dx.doi.org/10.1111/j.0435-3676.1998.00038.x","http://dx.doi.org/10.1111/j.0435-3676.1998.00038.x")</f>
        <v>http://dx.doi.org/10.1111/j.0435-3676.1998.00038.x</v>
      </c>
      <c r="BG355" t="s">
        <v>74</v>
      </c>
      <c r="BH355" t="s">
        <v>74</v>
      </c>
      <c r="BI355">
        <v>11</v>
      </c>
      <c r="BJ355" t="s">
        <v>4405</v>
      </c>
      <c r="BK355" t="s">
        <v>98</v>
      </c>
      <c r="BL355" t="s">
        <v>4240</v>
      </c>
      <c r="BM355" t="s">
        <v>4406</v>
      </c>
      <c r="BN355" t="s">
        <v>74</v>
      </c>
      <c r="BO355" t="s">
        <v>74</v>
      </c>
      <c r="BP355" t="s">
        <v>74</v>
      </c>
      <c r="BQ355" t="s">
        <v>74</v>
      </c>
      <c r="BR355" t="s">
        <v>101</v>
      </c>
      <c r="BS355" t="s">
        <v>4407</v>
      </c>
      <c r="BT355" t="str">
        <f>HYPERLINK("https%3A%2F%2Fwww.webofscience.com%2Fwos%2Fwoscc%2Ffull-record%2FWOS:000081078100005","View Full Record in Web of Science")</f>
        <v>View Full Record in Web of Science</v>
      </c>
    </row>
    <row r="356" spans="1:72" x14ac:dyDescent="0.15">
      <c r="A356" t="s">
        <v>72</v>
      </c>
      <c r="B356" t="s">
        <v>4408</v>
      </c>
      <c r="C356" t="s">
        <v>74</v>
      </c>
      <c r="D356" t="s">
        <v>74</v>
      </c>
      <c r="E356" t="s">
        <v>74</v>
      </c>
      <c r="F356" t="s">
        <v>4408</v>
      </c>
      <c r="G356" t="s">
        <v>74</v>
      </c>
      <c r="H356" t="s">
        <v>74</v>
      </c>
      <c r="I356" t="s">
        <v>4409</v>
      </c>
      <c r="J356" t="s">
        <v>4410</v>
      </c>
      <c r="K356" t="s">
        <v>74</v>
      </c>
      <c r="L356" t="s">
        <v>74</v>
      </c>
      <c r="M356" t="s">
        <v>77</v>
      </c>
      <c r="N356" t="s">
        <v>78</v>
      </c>
      <c r="O356" t="s">
        <v>74</v>
      </c>
      <c r="P356" t="s">
        <v>74</v>
      </c>
      <c r="Q356" t="s">
        <v>74</v>
      </c>
      <c r="R356" t="s">
        <v>74</v>
      </c>
      <c r="S356" t="s">
        <v>74</v>
      </c>
      <c r="T356" t="s">
        <v>74</v>
      </c>
      <c r="U356" t="s">
        <v>4411</v>
      </c>
      <c r="V356" t="s">
        <v>4412</v>
      </c>
      <c r="W356" t="s">
        <v>4413</v>
      </c>
      <c r="X356" t="s">
        <v>4414</v>
      </c>
      <c r="Y356" t="s">
        <v>4415</v>
      </c>
      <c r="Z356" t="s">
        <v>4416</v>
      </c>
      <c r="AA356" t="s">
        <v>4417</v>
      </c>
      <c r="AB356" t="s">
        <v>4418</v>
      </c>
      <c r="AC356" t="s">
        <v>74</v>
      </c>
      <c r="AD356" t="s">
        <v>74</v>
      </c>
      <c r="AE356" t="s">
        <v>74</v>
      </c>
      <c r="AF356" t="s">
        <v>74</v>
      </c>
      <c r="AG356">
        <v>72</v>
      </c>
      <c r="AH356">
        <v>63</v>
      </c>
      <c r="AI356">
        <v>68</v>
      </c>
      <c r="AJ356">
        <v>0</v>
      </c>
      <c r="AK356">
        <v>7</v>
      </c>
      <c r="AL356" t="s">
        <v>467</v>
      </c>
      <c r="AM356" t="s">
        <v>468</v>
      </c>
      <c r="AN356" t="s">
        <v>469</v>
      </c>
      <c r="AO356" t="s">
        <v>4419</v>
      </c>
      <c r="AP356" t="s">
        <v>74</v>
      </c>
      <c r="AQ356" t="s">
        <v>74</v>
      </c>
      <c r="AR356" t="s">
        <v>4420</v>
      </c>
      <c r="AS356" t="s">
        <v>4421</v>
      </c>
      <c r="AT356" t="s">
        <v>2502</v>
      </c>
      <c r="AU356">
        <v>1998</v>
      </c>
      <c r="AV356">
        <v>110</v>
      </c>
      <c r="AW356">
        <v>1</v>
      </c>
      <c r="AX356" t="s">
        <v>74</v>
      </c>
      <c r="AY356" t="s">
        <v>74</v>
      </c>
      <c r="AZ356" t="s">
        <v>74</v>
      </c>
      <c r="BA356" t="s">
        <v>74</v>
      </c>
      <c r="BB356">
        <v>35</v>
      </c>
      <c r="BC356">
        <v>47</v>
      </c>
      <c r="BD356" t="s">
        <v>74</v>
      </c>
      <c r="BE356" t="s">
        <v>4422</v>
      </c>
      <c r="BF356" t="str">
        <f>HYPERLINK("http://dx.doi.org/10.1130/0016-7606(1998)110&lt;0035:MCOTEO&gt;2.3.CO;2","http://dx.doi.org/10.1130/0016-7606(1998)110&lt;0035:MCOTEO&gt;2.3.CO;2")</f>
        <v>http://dx.doi.org/10.1130/0016-7606(1998)110&lt;0035:MCOTEO&gt;2.3.CO;2</v>
      </c>
      <c r="BG356" t="s">
        <v>74</v>
      </c>
      <c r="BH356" t="s">
        <v>74</v>
      </c>
      <c r="BI356">
        <v>13</v>
      </c>
      <c r="BJ356" t="s">
        <v>769</v>
      </c>
      <c r="BK356" t="s">
        <v>98</v>
      </c>
      <c r="BL356" t="s">
        <v>471</v>
      </c>
      <c r="BM356" t="s">
        <v>4423</v>
      </c>
      <c r="BN356" t="s">
        <v>74</v>
      </c>
      <c r="BO356" t="s">
        <v>74</v>
      </c>
      <c r="BP356" t="s">
        <v>74</v>
      </c>
      <c r="BQ356" t="s">
        <v>74</v>
      </c>
      <c r="BR356" t="s">
        <v>101</v>
      </c>
      <c r="BS356" t="s">
        <v>4424</v>
      </c>
      <c r="BT356" t="str">
        <f>HYPERLINK("https%3A%2F%2Fwww.webofscience.com%2Fwos%2Fwoscc%2Ffull-record%2FWOS:000071465900004","View Full Record in Web of Science")</f>
        <v>View Full Record in Web of Science</v>
      </c>
    </row>
    <row r="357" spans="1:72" x14ac:dyDescent="0.15">
      <c r="A357" t="s">
        <v>72</v>
      </c>
      <c r="B357" t="s">
        <v>4425</v>
      </c>
      <c r="C357" t="s">
        <v>74</v>
      </c>
      <c r="D357" t="s">
        <v>74</v>
      </c>
      <c r="E357" t="s">
        <v>74</v>
      </c>
      <c r="F357" t="s">
        <v>4425</v>
      </c>
      <c r="G357" t="s">
        <v>74</v>
      </c>
      <c r="H357" t="s">
        <v>74</v>
      </c>
      <c r="I357" t="s">
        <v>4426</v>
      </c>
      <c r="J357" t="s">
        <v>4427</v>
      </c>
      <c r="K357" t="s">
        <v>74</v>
      </c>
      <c r="L357" t="s">
        <v>74</v>
      </c>
      <c r="M357" t="s">
        <v>4428</v>
      </c>
      <c r="N357" t="s">
        <v>78</v>
      </c>
      <c r="O357" t="s">
        <v>74</v>
      </c>
      <c r="P357" t="s">
        <v>74</v>
      </c>
      <c r="Q357" t="s">
        <v>74</v>
      </c>
      <c r="R357" t="s">
        <v>74</v>
      </c>
      <c r="S357" t="s">
        <v>74</v>
      </c>
      <c r="T357" t="s">
        <v>74</v>
      </c>
      <c r="U357" t="s">
        <v>74</v>
      </c>
      <c r="V357" t="s">
        <v>74</v>
      </c>
      <c r="W357" t="s">
        <v>4429</v>
      </c>
      <c r="X357" t="s">
        <v>852</v>
      </c>
      <c r="Y357" t="s">
        <v>4430</v>
      </c>
      <c r="Z357" t="s">
        <v>74</v>
      </c>
      <c r="AA357" t="s">
        <v>74</v>
      </c>
      <c r="AB357" t="s">
        <v>74</v>
      </c>
      <c r="AC357" t="s">
        <v>74</v>
      </c>
      <c r="AD357" t="s">
        <v>74</v>
      </c>
      <c r="AE357" t="s">
        <v>74</v>
      </c>
      <c r="AF357" t="s">
        <v>74</v>
      </c>
      <c r="AG357">
        <v>9</v>
      </c>
      <c r="AH357">
        <v>0</v>
      </c>
      <c r="AI357">
        <v>0</v>
      </c>
      <c r="AJ357">
        <v>0</v>
      </c>
      <c r="AK357">
        <v>0</v>
      </c>
      <c r="AL357" t="s">
        <v>4431</v>
      </c>
      <c r="AM357" t="s">
        <v>4432</v>
      </c>
      <c r="AN357" t="s">
        <v>4433</v>
      </c>
      <c r="AO357" t="s">
        <v>4434</v>
      </c>
      <c r="AP357" t="s">
        <v>74</v>
      </c>
      <c r="AQ357" t="s">
        <v>74</v>
      </c>
      <c r="AR357" t="s">
        <v>4435</v>
      </c>
      <c r="AS357" t="s">
        <v>4436</v>
      </c>
      <c r="AT357" t="s">
        <v>4291</v>
      </c>
      <c r="AU357">
        <v>1998</v>
      </c>
      <c r="AV357">
        <v>38</v>
      </c>
      <c r="AW357">
        <v>1</v>
      </c>
      <c r="AX357" t="s">
        <v>74</v>
      </c>
      <c r="AY357" t="s">
        <v>74</v>
      </c>
      <c r="AZ357" t="s">
        <v>74</v>
      </c>
      <c r="BA357" t="s">
        <v>74</v>
      </c>
      <c r="BB357">
        <v>101</v>
      </c>
      <c r="BC357">
        <v>107</v>
      </c>
      <c r="BD357" t="s">
        <v>74</v>
      </c>
      <c r="BE357" t="s">
        <v>74</v>
      </c>
      <c r="BF357" t="s">
        <v>74</v>
      </c>
      <c r="BG357" t="s">
        <v>74</v>
      </c>
      <c r="BH357" t="s">
        <v>74</v>
      </c>
      <c r="BI357">
        <v>7</v>
      </c>
      <c r="BJ357" t="s">
        <v>143</v>
      </c>
      <c r="BK357" t="s">
        <v>98</v>
      </c>
      <c r="BL357" t="s">
        <v>143</v>
      </c>
      <c r="BM357" t="s">
        <v>4437</v>
      </c>
      <c r="BN357" t="s">
        <v>74</v>
      </c>
      <c r="BO357" t="s">
        <v>74</v>
      </c>
      <c r="BP357" t="s">
        <v>74</v>
      </c>
      <c r="BQ357" t="s">
        <v>74</v>
      </c>
      <c r="BR357" t="s">
        <v>101</v>
      </c>
      <c r="BS357" t="s">
        <v>4438</v>
      </c>
      <c r="BT357" t="str">
        <f>HYPERLINK("https%3A%2F%2Fwww.webofscience.com%2Fwos%2Fwoscc%2Ffull-record%2FWOS:000072501300010","View Full Record in Web of Science")</f>
        <v>View Full Record in Web of Science</v>
      </c>
    </row>
    <row r="358" spans="1:72" x14ac:dyDescent="0.15">
      <c r="A358" t="s">
        <v>72</v>
      </c>
      <c r="B358" t="s">
        <v>4439</v>
      </c>
      <c r="C358" t="s">
        <v>74</v>
      </c>
      <c r="D358" t="s">
        <v>74</v>
      </c>
      <c r="E358" t="s">
        <v>74</v>
      </c>
      <c r="F358" t="s">
        <v>4439</v>
      </c>
      <c r="G358" t="s">
        <v>74</v>
      </c>
      <c r="H358" t="s">
        <v>74</v>
      </c>
      <c r="I358" t="s">
        <v>4440</v>
      </c>
      <c r="J358" t="s">
        <v>4441</v>
      </c>
      <c r="K358" t="s">
        <v>74</v>
      </c>
      <c r="L358" t="s">
        <v>74</v>
      </c>
      <c r="M358" t="s">
        <v>77</v>
      </c>
      <c r="N358" t="s">
        <v>78</v>
      </c>
      <c r="O358" t="s">
        <v>74</v>
      </c>
      <c r="P358" t="s">
        <v>74</v>
      </c>
      <c r="Q358" t="s">
        <v>74</v>
      </c>
      <c r="R358" t="s">
        <v>74</v>
      </c>
      <c r="S358" t="s">
        <v>74</v>
      </c>
      <c r="T358" t="s">
        <v>4442</v>
      </c>
      <c r="U358" t="s">
        <v>4443</v>
      </c>
      <c r="V358" t="s">
        <v>4444</v>
      </c>
      <c r="W358" t="s">
        <v>4445</v>
      </c>
      <c r="X358" t="s">
        <v>2147</v>
      </c>
      <c r="Y358" t="s">
        <v>4446</v>
      </c>
      <c r="Z358" t="s">
        <v>74</v>
      </c>
      <c r="AA358" t="s">
        <v>4447</v>
      </c>
      <c r="AB358" t="s">
        <v>74</v>
      </c>
      <c r="AC358" t="s">
        <v>74</v>
      </c>
      <c r="AD358" t="s">
        <v>74</v>
      </c>
      <c r="AE358" t="s">
        <v>74</v>
      </c>
      <c r="AF358" t="s">
        <v>74</v>
      </c>
      <c r="AG358">
        <v>13</v>
      </c>
      <c r="AH358">
        <v>3</v>
      </c>
      <c r="AI358">
        <v>3</v>
      </c>
      <c r="AJ358">
        <v>1</v>
      </c>
      <c r="AK358">
        <v>2</v>
      </c>
      <c r="AL358" t="s">
        <v>2664</v>
      </c>
      <c r="AM358" t="s">
        <v>2665</v>
      </c>
      <c r="AN358" t="s">
        <v>4448</v>
      </c>
      <c r="AO358" t="s">
        <v>4449</v>
      </c>
      <c r="AP358" t="s">
        <v>74</v>
      </c>
      <c r="AQ358" t="s">
        <v>74</v>
      </c>
      <c r="AR358" t="s">
        <v>4450</v>
      </c>
      <c r="AS358" t="s">
        <v>4451</v>
      </c>
      <c r="AT358" t="s">
        <v>74</v>
      </c>
      <c r="AU358">
        <v>1998</v>
      </c>
      <c r="AV358">
        <v>88</v>
      </c>
      <c r="AW358" t="s">
        <v>694</v>
      </c>
      <c r="AX358" t="s">
        <v>74</v>
      </c>
      <c r="AY358" t="s">
        <v>74</v>
      </c>
      <c r="AZ358" t="s">
        <v>74</v>
      </c>
      <c r="BA358" t="s">
        <v>74</v>
      </c>
      <c r="BB358">
        <v>295</v>
      </c>
      <c r="BC358" t="s">
        <v>4124</v>
      </c>
      <c r="BD358" t="s">
        <v>74</v>
      </c>
      <c r="BE358" t="s">
        <v>4452</v>
      </c>
      <c r="BF358" t="str">
        <f>HYPERLINK("http://dx.doi.org/10.1080/03091929808245478","http://dx.doi.org/10.1080/03091929808245478")</f>
        <v>http://dx.doi.org/10.1080/03091929808245478</v>
      </c>
      <c r="BG358" t="s">
        <v>74</v>
      </c>
      <c r="BH358" t="s">
        <v>74</v>
      </c>
      <c r="BI358">
        <v>31</v>
      </c>
      <c r="BJ358" t="s">
        <v>4453</v>
      </c>
      <c r="BK358" t="s">
        <v>98</v>
      </c>
      <c r="BL358" t="s">
        <v>4453</v>
      </c>
      <c r="BM358" t="s">
        <v>4454</v>
      </c>
      <c r="BN358" t="s">
        <v>74</v>
      </c>
      <c r="BO358" t="s">
        <v>1351</v>
      </c>
      <c r="BP358" t="s">
        <v>74</v>
      </c>
      <c r="BQ358" t="s">
        <v>74</v>
      </c>
      <c r="BR358" t="s">
        <v>101</v>
      </c>
      <c r="BS358" t="s">
        <v>4455</v>
      </c>
      <c r="BT358" t="str">
        <f>HYPERLINK("https%3A%2F%2Fwww.webofscience.com%2Fwos%2Fwoscc%2Ffull-record%2FWOS:000076775000007","View Full Record in Web of Science")</f>
        <v>View Full Record in Web of Science</v>
      </c>
    </row>
    <row r="359" spans="1:72" x14ac:dyDescent="0.15">
      <c r="A359" t="s">
        <v>72</v>
      </c>
      <c r="B359" t="s">
        <v>4456</v>
      </c>
      <c r="C359" t="s">
        <v>74</v>
      </c>
      <c r="D359" t="s">
        <v>74</v>
      </c>
      <c r="E359" t="s">
        <v>74</v>
      </c>
      <c r="F359" t="s">
        <v>4456</v>
      </c>
      <c r="G359" t="s">
        <v>74</v>
      </c>
      <c r="H359" t="s">
        <v>74</v>
      </c>
      <c r="I359" t="s">
        <v>4457</v>
      </c>
      <c r="J359" t="s">
        <v>4441</v>
      </c>
      <c r="K359" t="s">
        <v>74</v>
      </c>
      <c r="L359" t="s">
        <v>74</v>
      </c>
      <c r="M359" t="s">
        <v>77</v>
      </c>
      <c r="N359" t="s">
        <v>78</v>
      </c>
      <c r="O359" t="s">
        <v>74</v>
      </c>
      <c r="P359" t="s">
        <v>74</v>
      </c>
      <c r="Q359" t="s">
        <v>74</v>
      </c>
      <c r="R359" t="s">
        <v>74</v>
      </c>
      <c r="S359" t="s">
        <v>74</v>
      </c>
      <c r="T359" t="s">
        <v>4458</v>
      </c>
      <c r="U359" t="s">
        <v>4459</v>
      </c>
      <c r="V359" t="s">
        <v>4460</v>
      </c>
      <c r="W359" t="s">
        <v>4461</v>
      </c>
      <c r="X359" t="s">
        <v>4462</v>
      </c>
      <c r="Y359" t="s">
        <v>4463</v>
      </c>
      <c r="Z359" t="s">
        <v>74</v>
      </c>
      <c r="AA359" t="s">
        <v>74</v>
      </c>
      <c r="AB359" t="s">
        <v>74</v>
      </c>
      <c r="AC359" t="s">
        <v>74</v>
      </c>
      <c r="AD359" t="s">
        <v>74</v>
      </c>
      <c r="AE359" t="s">
        <v>74</v>
      </c>
      <c r="AF359" t="s">
        <v>74</v>
      </c>
      <c r="AG359">
        <v>39</v>
      </c>
      <c r="AH359">
        <v>9</v>
      </c>
      <c r="AI359">
        <v>9</v>
      </c>
      <c r="AJ359">
        <v>0</v>
      </c>
      <c r="AK359">
        <v>1</v>
      </c>
      <c r="AL359" t="s">
        <v>2664</v>
      </c>
      <c r="AM359" t="s">
        <v>2665</v>
      </c>
      <c r="AN359" t="s">
        <v>2666</v>
      </c>
      <c r="AO359" t="s">
        <v>4449</v>
      </c>
      <c r="AP359" t="s">
        <v>4464</v>
      </c>
      <c r="AQ359" t="s">
        <v>74</v>
      </c>
      <c r="AR359" t="s">
        <v>4450</v>
      </c>
      <c r="AS359" t="s">
        <v>4451</v>
      </c>
      <c r="AT359" t="s">
        <v>74</v>
      </c>
      <c r="AU359">
        <v>1998</v>
      </c>
      <c r="AV359">
        <v>87</v>
      </c>
      <c r="AW359" t="s">
        <v>694</v>
      </c>
      <c r="AX359" t="s">
        <v>74</v>
      </c>
      <c r="AY359" t="s">
        <v>74</v>
      </c>
      <c r="AZ359" t="s">
        <v>74</v>
      </c>
      <c r="BA359" t="s">
        <v>74</v>
      </c>
      <c r="BB359">
        <v>273</v>
      </c>
      <c r="BC359" t="s">
        <v>4124</v>
      </c>
      <c r="BD359" t="s">
        <v>74</v>
      </c>
      <c r="BE359" t="s">
        <v>4465</v>
      </c>
      <c r="BF359" t="str">
        <f>HYPERLINK("http://dx.doi.org/10.1080/03091929808221150","http://dx.doi.org/10.1080/03091929808221150")</f>
        <v>http://dx.doi.org/10.1080/03091929808221150</v>
      </c>
      <c r="BG359" t="s">
        <v>74</v>
      </c>
      <c r="BH359" t="s">
        <v>74</v>
      </c>
      <c r="BI359">
        <v>40</v>
      </c>
      <c r="BJ359" t="s">
        <v>4453</v>
      </c>
      <c r="BK359" t="s">
        <v>98</v>
      </c>
      <c r="BL359" t="s">
        <v>4453</v>
      </c>
      <c r="BM359" t="s">
        <v>4466</v>
      </c>
      <c r="BN359" t="s">
        <v>74</v>
      </c>
      <c r="BO359" t="s">
        <v>74</v>
      </c>
      <c r="BP359" t="s">
        <v>74</v>
      </c>
      <c r="BQ359" t="s">
        <v>74</v>
      </c>
      <c r="BR359" t="s">
        <v>101</v>
      </c>
      <c r="BS359" t="s">
        <v>4467</v>
      </c>
      <c r="BT359" t="str">
        <f>HYPERLINK("https%3A%2F%2Fwww.webofscience.com%2Fwos%2Fwoscc%2Ffull-record%2FWOS:000074207100007","View Full Record in Web of Science")</f>
        <v>View Full Record in Web of Science</v>
      </c>
    </row>
    <row r="360" spans="1:72" x14ac:dyDescent="0.15">
      <c r="A360" t="s">
        <v>72</v>
      </c>
      <c r="B360" t="s">
        <v>4468</v>
      </c>
      <c r="C360" t="s">
        <v>74</v>
      </c>
      <c r="D360" t="s">
        <v>74</v>
      </c>
      <c r="E360" t="s">
        <v>74</v>
      </c>
      <c r="F360" t="s">
        <v>4468</v>
      </c>
      <c r="G360" t="s">
        <v>74</v>
      </c>
      <c r="H360" t="s">
        <v>74</v>
      </c>
      <c r="I360" t="s">
        <v>4469</v>
      </c>
      <c r="J360" t="s">
        <v>1581</v>
      </c>
      <c r="K360" t="s">
        <v>74</v>
      </c>
      <c r="L360" t="s">
        <v>74</v>
      </c>
      <c r="M360" t="s">
        <v>77</v>
      </c>
      <c r="N360" t="s">
        <v>212</v>
      </c>
      <c r="O360" t="s">
        <v>74</v>
      </c>
      <c r="P360" t="s">
        <v>74</v>
      </c>
      <c r="Q360" t="s">
        <v>74</v>
      </c>
      <c r="R360" t="s">
        <v>74</v>
      </c>
      <c r="S360" t="s">
        <v>74</v>
      </c>
      <c r="T360" t="s">
        <v>74</v>
      </c>
      <c r="U360" t="s">
        <v>4470</v>
      </c>
      <c r="V360" t="s">
        <v>4471</v>
      </c>
      <c r="W360" t="s">
        <v>4472</v>
      </c>
      <c r="X360" t="s">
        <v>4473</v>
      </c>
      <c r="Y360" t="s">
        <v>4474</v>
      </c>
      <c r="Z360" t="s">
        <v>74</v>
      </c>
      <c r="AA360" t="s">
        <v>4475</v>
      </c>
      <c r="AB360" t="s">
        <v>74</v>
      </c>
      <c r="AC360" t="s">
        <v>74</v>
      </c>
      <c r="AD360" t="s">
        <v>74</v>
      </c>
      <c r="AE360" t="s">
        <v>74</v>
      </c>
      <c r="AF360" t="s">
        <v>74</v>
      </c>
      <c r="AG360">
        <v>22</v>
      </c>
      <c r="AH360">
        <v>1</v>
      </c>
      <c r="AI360">
        <v>1</v>
      </c>
      <c r="AJ360">
        <v>0</v>
      </c>
      <c r="AK360">
        <v>0</v>
      </c>
      <c r="AL360" t="s">
        <v>87</v>
      </c>
      <c r="AM360" t="s">
        <v>88</v>
      </c>
      <c r="AN360" t="s">
        <v>89</v>
      </c>
      <c r="AO360" t="s">
        <v>1589</v>
      </c>
      <c r="AP360" t="s">
        <v>74</v>
      </c>
      <c r="AQ360" t="s">
        <v>74</v>
      </c>
      <c r="AR360" t="s">
        <v>1590</v>
      </c>
      <c r="AS360" t="s">
        <v>1591</v>
      </c>
      <c r="AT360" t="s">
        <v>3861</v>
      </c>
      <c r="AU360">
        <v>1998</v>
      </c>
      <c r="AV360">
        <v>25</v>
      </c>
      <c r="AW360">
        <v>1</v>
      </c>
      <c r="AX360" t="s">
        <v>74</v>
      </c>
      <c r="AY360" t="s">
        <v>74</v>
      </c>
      <c r="AZ360" t="s">
        <v>74</v>
      </c>
      <c r="BA360" t="s">
        <v>74</v>
      </c>
      <c r="BB360">
        <v>21</v>
      </c>
      <c r="BC360">
        <v>22</v>
      </c>
      <c r="BD360" t="s">
        <v>74</v>
      </c>
      <c r="BE360" t="s">
        <v>4476</v>
      </c>
      <c r="BF360" t="str">
        <f>HYPERLINK("http://dx.doi.org/10.1029/97GL03302","http://dx.doi.org/10.1029/97GL03302")</f>
        <v>http://dx.doi.org/10.1029/97GL03302</v>
      </c>
      <c r="BG360" t="s">
        <v>74</v>
      </c>
      <c r="BH360" t="s">
        <v>74</v>
      </c>
      <c r="BI360">
        <v>2</v>
      </c>
      <c r="BJ360" t="s">
        <v>769</v>
      </c>
      <c r="BK360" t="s">
        <v>98</v>
      </c>
      <c r="BL360" t="s">
        <v>471</v>
      </c>
      <c r="BM360" t="s">
        <v>4477</v>
      </c>
      <c r="BN360" t="s">
        <v>74</v>
      </c>
      <c r="BO360" t="s">
        <v>74</v>
      </c>
      <c r="BP360" t="s">
        <v>74</v>
      </c>
      <c r="BQ360" t="s">
        <v>74</v>
      </c>
      <c r="BR360" t="s">
        <v>101</v>
      </c>
      <c r="BS360" t="s">
        <v>4478</v>
      </c>
      <c r="BT360" t="str">
        <f>HYPERLINK("https%3A%2F%2Fwww.webofscience.com%2Fwos%2Fwoscc%2Ffull-record%2FWOS:000071371700006","View Full Record in Web of Science")</f>
        <v>View Full Record in Web of Science</v>
      </c>
    </row>
    <row r="361" spans="1:72" x14ac:dyDescent="0.15">
      <c r="A361" t="s">
        <v>72</v>
      </c>
      <c r="B361" t="s">
        <v>4479</v>
      </c>
      <c r="C361" t="s">
        <v>74</v>
      </c>
      <c r="D361" t="s">
        <v>74</v>
      </c>
      <c r="E361" t="s">
        <v>74</v>
      </c>
      <c r="F361" t="s">
        <v>4479</v>
      </c>
      <c r="G361" t="s">
        <v>74</v>
      </c>
      <c r="H361" t="s">
        <v>74</v>
      </c>
      <c r="I361" t="s">
        <v>4480</v>
      </c>
      <c r="J361" t="s">
        <v>4481</v>
      </c>
      <c r="K361" t="s">
        <v>74</v>
      </c>
      <c r="L361" t="s">
        <v>74</v>
      </c>
      <c r="M361" t="s">
        <v>77</v>
      </c>
      <c r="N361" t="s">
        <v>78</v>
      </c>
      <c r="O361" t="s">
        <v>74</v>
      </c>
      <c r="P361" t="s">
        <v>74</v>
      </c>
      <c r="Q361" t="s">
        <v>74</v>
      </c>
      <c r="R361" t="s">
        <v>74</v>
      </c>
      <c r="S361" t="s">
        <v>74</v>
      </c>
      <c r="T361" t="s">
        <v>4482</v>
      </c>
      <c r="U361" t="s">
        <v>4483</v>
      </c>
      <c r="V361" t="s">
        <v>4484</v>
      </c>
      <c r="W361" t="s">
        <v>4485</v>
      </c>
      <c r="X361" t="s">
        <v>4486</v>
      </c>
      <c r="Y361" t="s">
        <v>4487</v>
      </c>
      <c r="Z361" t="s">
        <v>74</v>
      </c>
      <c r="AA361" t="s">
        <v>74</v>
      </c>
      <c r="AB361" t="s">
        <v>74</v>
      </c>
      <c r="AC361" t="s">
        <v>74</v>
      </c>
      <c r="AD361" t="s">
        <v>74</v>
      </c>
      <c r="AE361" t="s">
        <v>74</v>
      </c>
      <c r="AF361" t="s">
        <v>74</v>
      </c>
      <c r="AG361">
        <v>17</v>
      </c>
      <c r="AH361">
        <v>2</v>
      </c>
      <c r="AI361">
        <v>2</v>
      </c>
      <c r="AJ361">
        <v>0</v>
      </c>
      <c r="AK361">
        <v>0</v>
      </c>
      <c r="AL361" t="s">
        <v>4488</v>
      </c>
      <c r="AM361" t="s">
        <v>4489</v>
      </c>
      <c r="AN361" t="s">
        <v>4490</v>
      </c>
      <c r="AO361" t="s">
        <v>4491</v>
      </c>
      <c r="AP361" t="s">
        <v>74</v>
      </c>
      <c r="AQ361" t="s">
        <v>74</v>
      </c>
      <c r="AR361" t="s">
        <v>4492</v>
      </c>
      <c r="AS361" t="s">
        <v>4493</v>
      </c>
      <c r="AT361" t="s">
        <v>2502</v>
      </c>
      <c r="AU361">
        <v>1998</v>
      </c>
      <c r="AV361">
        <v>1</v>
      </c>
      <c r="AW361">
        <v>2</v>
      </c>
      <c r="AX361" t="s">
        <v>74</v>
      </c>
      <c r="AY361" t="s">
        <v>74</v>
      </c>
      <c r="AZ361" t="s">
        <v>74</v>
      </c>
      <c r="BA361" t="s">
        <v>74</v>
      </c>
      <c r="BB361">
        <v>285</v>
      </c>
      <c r="BC361">
        <v>290</v>
      </c>
      <c r="BD361" t="s">
        <v>74</v>
      </c>
      <c r="BE361" t="s">
        <v>4494</v>
      </c>
      <c r="BF361" t="str">
        <f>HYPERLINK("http://dx.doi.org/10.1016/S1342-937X(05)70839-X","http://dx.doi.org/10.1016/S1342-937X(05)70839-X")</f>
        <v>http://dx.doi.org/10.1016/S1342-937X(05)70839-X</v>
      </c>
      <c r="BG361" t="s">
        <v>74</v>
      </c>
      <c r="BH361" t="s">
        <v>74</v>
      </c>
      <c r="BI361">
        <v>6</v>
      </c>
      <c r="BJ361" t="s">
        <v>769</v>
      </c>
      <c r="BK361" t="s">
        <v>98</v>
      </c>
      <c r="BL361" t="s">
        <v>471</v>
      </c>
      <c r="BM361" t="s">
        <v>4495</v>
      </c>
      <c r="BN361" t="s">
        <v>74</v>
      </c>
      <c r="BO361" t="s">
        <v>74</v>
      </c>
      <c r="BP361" t="s">
        <v>74</v>
      </c>
      <c r="BQ361" t="s">
        <v>74</v>
      </c>
      <c r="BR361" t="s">
        <v>101</v>
      </c>
      <c r="BS361" t="s">
        <v>4496</v>
      </c>
      <c r="BT361" t="str">
        <f>HYPERLINK("https%3A%2F%2Fwww.webofscience.com%2Fwos%2Fwoscc%2Ffull-record%2FWOS:000080990400012","View Full Record in Web of Science")</f>
        <v>View Full Record in Web of Science</v>
      </c>
    </row>
    <row r="362" spans="1:72" x14ac:dyDescent="0.15">
      <c r="A362" t="s">
        <v>72</v>
      </c>
      <c r="B362" t="s">
        <v>4497</v>
      </c>
      <c r="C362" t="s">
        <v>74</v>
      </c>
      <c r="D362" t="s">
        <v>74</v>
      </c>
      <c r="E362" t="s">
        <v>74</v>
      </c>
      <c r="F362" t="s">
        <v>4497</v>
      </c>
      <c r="G362" t="s">
        <v>74</v>
      </c>
      <c r="H362" t="s">
        <v>74</v>
      </c>
      <c r="I362" t="s">
        <v>4498</v>
      </c>
      <c r="J362" t="s">
        <v>4499</v>
      </c>
      <c r="K362" t="s">
        <v>74</v>
      </c>
      <c r="L362" t="s">
        <v>74</v>
      </c>
      <c r="M362" t="s">
        <v>77</v>
      </c>
      <c r="N362" t="s">
        <v>78</v>
      </c>
      <c r="O362" t="s">
        <v>74</v>
      </c>
      <c r="P362" t="s">
        <v>74</v>
      </c>
      <c r="Q362" t="s">
        <v>74</v>
      </c>
      <c r="R362" t="s">
        <v>74</v>
      </c>
      <c r="S362" t="s">
        <v>74</v>
      </c>
      <c r="T362" t="s">
        <v>74</v>
      </c>
      <c r="U362" t="s">
        <v>74</v>
      </c>
      <c r="V362" t="s">
        <v>4500</v>
      </c>
      <c r="W362" t="s">
        <v>4501</v>
      </c>
      <c r="X362" t="s">
        <v>4502</v>
      </c>
      <c r="Y362" t="s">
        <v>4503</v>
      </c>
      <c r="Z362" t="s">
        <v>74</v>
      </c>
      <c r="AA362" t="s">
        <v>74</v>
      </c>
      <c r="AB362" t="s">
        <v>74</v>
      </c>
      <c r="AC362" t="s">
        <v>74</v>
      </c>
      <c r="AD362" t="s">
        <v>74</v>
      </c>
      <c r="AE362" t="s">
        <v>74</v>
      </c>
      <c r="AF362" t="s">
        <v>74</v>
      </c>
      <c r="AG362">
        <v>5</v>
      </c>
      <c r="AH362">
        <v>2</v>
      </c>
      <c r="AI362">
        <v>2</v>
      </c>
      <c r="AJ362">
        <v>1</v>
      </c>
      <c r="AK362">
        <v>9</v>
      </c>
      <c r="AL362" t="s">
        <v>4504</v>
      </c>
      <c r="AM362" t="s">
        <v>2204</v>
      </c>
      <c r="AN362" t="s">
        <v>4505</v>
      </c>
      <c r="AO362" t="s">
        <v>4506</v>
      </c>
      <c r="AP362" t="s">
        <v>74</v>
      </c>
      <c r="AQ362" t="s">
        <v>74</v>
      </c>
      <c r="AR362" t="s">
        <v>4499</v>
      </c>
      <c r="AS362" t="s">
        <v>4507</v>
      </c>
      <c r="AT362" t="s">
        <v>74</v>
      </c>
      <c r="AU362">
        <v>1998</v>
      </c>
      <c r="AV362">
        <v>37</v>
      </c>
      <c r="AW362">
        <v>1</v>
      </c>
      <c r="AX362" t="s">
        <v>74</v>
      </c>
      <c r="AY362" t="s">
        <v>74</v>
      </c>
      <c r="AZ362" t="s">
        <v>74</v>
      </c>
      <c r="BA362" t="s">
        <v>74</v>
      </c>
      <c r="BB362">
        <v>58</v>
      </c>
      <c r="BC362">
        <v>62</v>
      </c>
      <c r="BD362" t="s">
        <v>74</v>
      </c>
      <c r="BE362" t="s">
        <v>4508</v>
      </c>
      <c r="BF362" t="str">
        <f>HYPERLINK("http://dx.doi.org/10.1080/00173139809362641","http://dx.doi.org/10.1080/00173139809362641")</f>
        <v>http://dx.doi.org/10.1080/00173139809362641</v>
      </c>
      <c r="BG362" t="s">
        <v>74</v>
      </c>
      <c r="BH362" t="s">
        <v>74</v>
      </c>
      <c r="BI362">
        <v>5</v>
      </c>
      <c r="BJ362" t="s">
        <v>2721</v>
      </c>
      <c r="BK362" t="s">
        <v>98</v>
      </c>
      <c r="BL362" t="s">
        <v>2721</v>
      </c>
      <c r="BM362" t="s">
        <v>4509</v>
      </c>
      <c r="BN362" t="s">
        <v>74</v>
      </c>
      <c r="BO362" t="s">
        <v>74</v>
      </c>
      <c r="BP362" t="s">
        <v>74</v>
      </c>
      <c r="BQ362" t="s">
        <v>74</v>
      </c>
      <c r="BR362" t="s">
        <v>101</v>
      </c>
      <c r="BS362" t="s">
        <v>4510</v>
      </c>
      <c r="BT362" t="str">
        <f>HYPERLINK("https%3A%2F%2Fwww.webofscience.com%2Fwos%2Fwoscc%2Ffull-record%2FWOS:000074804500009","View Full Record in Web of Science")</f>
        <v>View Full Record in Web of Science</v>
      </c>
    </row>
    <row r="363" spans="1:72" x14ac:dyDescent="0.15">
      <c r="A363" t="s">
        <v>72</v>
      </c>
      <c r="B363" t="s">
        <v>4511</v>
      </c>
      <c r="C363" t="s">
        <v>74</v>
      </c>
      <c r="D363" t="s">
        <v>74</v>
      </c>
      <c r="E363" t="s">
        <v>74</v>
      </c>
      <c r="F363" t="s">
        <v>4511</v>
      </c>
      <c r="G363" t="s">
        <v>74</v>
      </c>
      <c r="H363" t="s">
        <v>74</v>
      </c>
      <c r="I363" t="s">
        <v>4512</v>
      </c>
      <c r="J363" t="s">
        <v>4513</v>
      </c>
      <c r="K363" t="s">
        <v>74</v>
      </c>
      <c r="L363" t="s">
        <v>74</v>
      </c>
      <c r="M363" t="s">
        <v>77</v>
      </c>
      <c r="N363" t="s">
        <v>78</v>
      </c>
      <c r="O363" t="s">
        <v>74</v>
      </c>
      <c r="P363" t="s">
        <v>74</v>
      </c>
      <c r="Q363" t="s">
        <v>74</v>
      </c>
      <c r="R363" t="s">
        <v>74</v>
      </c>
      <c r="S363" t="s">
        <v>74</v>
      </c>
      <c r="T363" t="s">
        <v>74</v>
      </c>
      <c r="U363" t="s">
        <v>4514</v>
      </c>
      <c r="V363" t="s">
        <v>4515</v>
      </c>
      <c r="W363" t="s">
        <v>4516</v>
      </c>
      <c r="X363" t="s">
        <v>82</v>
      </c>
      <c r="Y363" t="s">
        <v>4517</v>
      </c>
      <c r="Z363" t="s">
        <v>74</v>
      </c>
      <c r="AA363" t="s">
        <v>74</v>
      </c>
      <c r="AB363" t="s">
        <v>74</v>
      </c>
      <c r="AC363" t="s">
        <v>74</v>
      </c>
      <c r="AD363" t="s">
        <v>74</v>
      </c>
      <c r="AE363" t="s">
        <v>74</v>
      </c>
      <c r="AF363" t="s">
        <v>74</v>
      </c>
      <c r="AG363">
        <v>8</v>
      </c>
      <c r="AH363">
        <v>13</v>
      </c>
      <c r="AI363">
        <v>20</v>
      </c>
      <c r="AJ363">
        <v>0</v>
      </c>
      <c r="AK363">
        <v>1</v>
      </c>
      <c r="AL363" t="s">
        <v>4518</v>
      </c>
      <c r="AM363" t="s">
        <v>4519</v>
      </c>
      <c r="AN363" t="s">
        <v>4520</v>
      </c>
      <c r="AO363" t="s">
        <v>4521</v>
      </c>
      <c r="AP363" t="s">
        <v>74</v>
      </c>
      <c r="AQ363" t="s">
        <v>74</v>
      </c>
      <c r="AR363" t="s">
        <v>4522</v>
      </c>
      <c r="AS363" t="s">
        <v>4523</v>
      </c>
      <c r="AT363" t="s">
        <v>74</v>
      </c>
      <c r="AU363">
        <v>1998</v>
      </c>
      <c r="AV363">
        <v>52</v>
      </c>
      <c r="AW363">
        <v>1</v>
      </c>
      <c r="AX363" t="s">
        <v>74</v>
      </c>
      <c r="AY363" t="s">
        <v>74</v>
      </c>
      <c r="AZ363" t="s">
        <v>74</v>
      </c>
      <c r="BA363" t="s">
        <v>74</v>
      </c>
      <c r="BB363">
        <v>41</v>
      </c>
      <c r="BC363">
        <v>49</v>
      </c>
      <c r="BD363" t="s">
        <v>74</v>
      </c>
      <c r="BE363" t="s">
        <v>4524</v>
      </c>
      <c r="BF363" t="str">
        <f>HYPERLINK("http://dx.doi.org/10.1007/BF02908734","http://dx.doi.org/10.1007/BF02908734")</f>
        <v>http://dx.doi.org/10.1007/BF02908734</v>
      </c>
      <c r="BG363" t="s">
        <v>74</v>
      </c>
      <c r="BH363" t="s">
        <v>74</v>
      </c>
      <c r="BI363">
        <v>9</v>
      </c>
      <c r="BJ363" t="s">
        <v>4525</v>
      </c>
      <c r="BK363" t="s">
        <v>98</v>
      </c>
      <c r="BL363" t="s">
        <v>4525</v>
      </c>
      <c r="BM363" t="s">
        <v>4526</v>
      </c>
      <c r="BN363" t="s">
        <v>74</v>
      </c>
      <c r="BO363" t="s">
        <v>100</v>
      </c>
      <c r="BP363" t="s">
        <v>74</v>
      </c>
      <c r="BQ363" t="s">
        <v>74</v>
      </c>
      <c r="BR363" t="s">
        <v>101</v>
      </c>
      <c r="BS363" t="s">
        <v>4527</v>
      </c>
      <c r="BT363" t="str">
        <f>HYPERLINK("https%3A%2F%2Fwww.webofscience.com%2Fwos%2Fwoscc%2Ffull-record%2FWOS:000075074900004","View Full Record in Web of Science")</f>
        <v>View Full Record in Web of Science</v>
      </c>
    </row>
    <row r="364" spans="1:72" x14ac:dyDescent="0.15">
      <c r="A364" t="s">
        <v>72</v>
      </c>
      <c r="B364" t="s">
        <v>4528</v>
      </c>
      <c r="C364" t="s">
        <v>74</v>
      </c>
      <c r="D364" t="s">
        <v>74</v>
      </c>
      <c r="E364" t="s">
        <v>74</v>
      </c>
      <c r="F364" t="s">
        <v>4528</v>
      </c>
      <c r="G364" t="s">
        <v>74</v>
      </c>
      <c r="H364" t="s">
        <v>74</v>
      </c>
      <c r="I364" t="s">
        <v>4529</v>
      </c>
      <c r="J364" t="s">
        <v>4530</v>
      </c>
      <c r="K364" t="s">
        <v>74</v>
      </c>
      <c r="L364" t="s">
        <v>74</v>
      </c>
      <c r="M364" t="s">
        <v>77</v>
      </c>
      <c r="N364" t="s">
        <v>379</v>
      </c>
      <c r="O364" t="s">
        <v>4531</v>
      </c>
      <c r="P364" t="s">
        <v>4532</v>
      </c>
      <c r="Q364" t="s">
        <v>4533</v>
      </c>
      <c r="R364" t="s">
        <v>74</v>
      </c>
      <c r="S364" t="s">
        <v>74</v>
      </c>
      <c r="T364" t="s">
        <v>4534</v>
      </c>
      <c r="U364" t="s">
        <v>74</v>
      </c>
      <c r="V364" t="s">
        <v>4535</v>
      </c>
      <c r="W364" t="s">
        <v>1877</v>
      </c>
      <c r="X364" t="s">
        <v>705</v>
      </c>
      <c r="Y364" t="s">
        <v>4536</v>
      </c>
      <c r="Z364" t="s">
        <v>4537</v>
      </c>
      <c r="AA364" t="s">
        <v>74</v>
      </c>
      <c r="AB364" t="s">
        <v>1879</v>
      </c>
      <c r="AC364" t="s">
        <v>74</v>
      </c>
      <c r="AD364" t="s">
        <v>74</v>
      </c>
      <c r="AE364" t="s">
        <v>74</v>
      </c>
      <c r="AF364" t="s">
        <v>74</v>
      </c>
      <c r="AG364">
        <v>25</v>
      </c>
      <c r="AH364">
        <v>41</v>
      </c>
      <c r="AI364">
        <v>47</v>
      </c>
      <c r="AJ364">
        <v>1</v>
      </c>
      <c r="AK364">
        <v>12</v>
      </c>
      <c r="AL364" t="s">
        <v>914</v>
      </c>
      <c r="AM364" t="s">
        <v>855</v>
      </c>
      <c r="AN364" t="s">
        <v>1718</v>
      </c>
      <c r="AO364" t="s">
        <v>4538</v>
      </c>
      <c r="AP364" t="s">
        <v>4539</v>
      </c>
      <c r="AQ364" t="s">
        <v>74</v>
      </c>
      <c r="AR364" t="s">
        <v>4530</v>
      </c>
      <c r="AS364" t="s">
        <v>4540</v>
      </c>
      <c r="AT364" t="s">
        <v>74</v>
      </c>
      <c r="AU364">
        <v>1998</v>
      </c>
      <c r="AV364">
        <v>370</v>
      </c>
      <c r="AW364" t="s">
        <v>74</v>
      </c>
      <c r="AX364" t="s">
        <v>74</v>
      </c>
      <c r="AY364" t="s">
        <v>74</v>
      </c>
      <c r="AZ364" t="s">
        <v>74</v>
      </c>
      <c r="BA364" t="s">
        <v>74</v>
      </c>
      <c r="BB364">
        <v>73</v>
      </c>
      <c r="BC364">
        <v>87</v>
      </c>
      <c r="BD364" t="s">
        <v>74</v>
      </c>
      <c r="BE364" t="s">
        <v>4541</v>
      </c>
      <c r="BF364" t="str">
        <f>HYPERLINK("http://dx.doi.org/10.1023/A:1017070415024","http://dx.doi.org/10.1023/A:1017070415024")</f>
        <v>http://dx.doi.org/10.1023/A:1017070415024</v>
      </c>
      <c r="BG364" t="s">
        <v>74</v>
      </c>
      <c r="BH364" t="s">
        <v>74</v>
      </c>
      <c r="BI364">
        <v>15</v>
      </c>
      <c r="BJ364" t="s">
        <v>1802</v>
      </c>
      <c r="BK364" t="s">
        <v>3943</v>
      </c>
      <c r="BL364" t="s">
        <v>1802</v>
      </c>
      <c r="BM364" t="s">
        <v>4542</v>
      </c>
      <c r="BN364" t="s">
        <v>74</v>
      </c>
      <c r="BO364" t="s">
        <v>74</v>
      </c>
      <c r="BP364" t="s">
        <v>74</v>
      </c>
      <c r="BQ364" t="s">
        <v>74</v>
      </c>
      <c r="BR364" t="s">
        <v>101</v>
      </c>
      <c r="BS364" t="s">
        <v>4543</v>
      </c>
      <c r="BT364" t="str">
        <f>HYPERLINK("https%3A%2F%2Fwww.webofscience.com%2Fwos%2Fwoscc%2Ffull-record%2FWOS:000076259900007","View Full Record in Web of Science")</f>
        <v>View Full Record in Web of Science</v>
      </c>
    </row>
    <row r="365" spans="1:72" x14ac:dyDescent="0.15">
      <c r="A365" t="s">
        <v>72</v>
      </c>
      <c r="B365" t="s">
        <v>4544</v>
      </c>
      <c r="C365" t="s">
        <v>74</v>
      </c>
      <c r="D365" t="s">
        <v>74</v>
      </c>
      <c r="E365" t="s">
        <v>74</v>
      </c>
      <c r="F365" t="s">
        <v>4544</v>
      </c>
      <c r="G365" t="s">
        <v>74</v>
      </c>
      <c r="H365" t="s">
        <v>74</v>
      </c>
      <c r="I365" t="s">
        <v>4545</v>
      </c>
      <c r="J365" t="s">
        <v>4530</v>
      </c>
      <c r="K365" t="s">
        <v>74</v>
      </c>
      <c r="L365" t="s">
        <v>74</v>
      </c>
      <c r="M365" t="s">
        <v>77</v>
      </c>
      <c r="N365" t="s">
        <v>379</v>
      </c>
      <c r="O365" t="s">
        <v>4546</v>
      </c>
      <c r="P365" t="s">
        <v>4547</v>
      </c>
      <c r="Q365" t="s">
        <v>4548</v>
      </c>
      <c r="R365" t="s">
        <v>74</v>
      </c>
      <c r="S365" t="s">
        <v>74</v>
      </c>
      <c r="T365" t="s">
        <v>4549</v>
      </c>
      <c r="U365" t="s">
        <v>4550</v>
      </c>
      <c r="V365" t="s">
        <v>4551</v>
      </c>
      <c r="W365" t="s">
        <v>4552</v>
      </c>
      <c r="X365" t="s">
        <v>4553</v>
      </c>
      <c r="Y365" t="s">
        <v>4554</v>
      </c>
      <c r="Z365" t="s">
        <v>74</v>
      </c>
      <c r="AA365" t="s">
        <v>74</v>
      </c>
      <c r="AB365" t="s">
        <v>74</v>
      </c>
      <c r="AC365" t="s">
        <v>74</v>
      </c>
      <c r="AD365" t="s">
        <v>74</v>
      </c>
      <c r="AE365" t="s">
        <v>74</v>
      </c>
      <c r="AF365" t="s">
        <v>74</v>
      </c>
      <c r="AG365">
        <v>55</v>
      </c>
      <c r="AH365">
        <v>13</v>
      </c>
      <c r="AI365">
        <v>14</v>
      </c>
      <c r="AJ365">
        <v>0</v>
      </c>
      <c r="AK365">
        <v>1</v>
      </c>
      <c r="AL365" t="s">
        <v>854</v>
      </c>
      <c r="AM365" t="s">
        <v>855</v>
      </c>
      <c r="AN365" t="s">
        <v>856</v>
      </c>
      <c r="AO365" t="s">
        <v>4538</v>
      </c>
      <c r="AP365" t="s">
        <v>74</v>
      </c>
      <c r="AQ365" t="s">
        <v>74</v>
      </c>
      <c r="AR365" t="s">
        <v>4530</v>
      </c>
      <c r="AS365" t="s">
        <v>4540</v>
      </c>
      <c r="AT365" t="s">
        <v>74</v>
      </c>
      <c r="AU365">
        <v>1998</v>
      </c>
      <c r="AV365">
        <v>365</v>
      </c>
      <c r="AW365" t="s">
        <v>74</v>
      </c>
      <c r="AX365" t="s">
        <v>74</v>
      </c>
      <c r="AY365" t="s">
        <v>74</v>
      </c>
      <c r="AZ365" t="s">
        <v>74</v>
      </c>
      <c r="BA365" t="s">
        <v>74</v>
      </c>
      <c r="BB365">
        <v>173</v>
      </c>
      <c r="BC365">
        <v>198</v>
      </c>
      <c r="BD365" t="s">
        <v>74</v>
      </c>
      <c r="BE365" t="s">
        <v>74</v>
      </c>
      <c r="BF365" t="s">
        <v>74</v>
      </c>
      <c r="BG365" t="s">
        <v>74</v>
      </c>
      <c r="BH365" t="s">
        <v>74</v>
      </c>
      <c r="BI365">
        <v>26</v>
      </c>
      <c r="BJ365" t="s">
        <v>1802</v>
      </c>
      <c r="BK365" t="s">
        <v>397</v>
      </c>
      <c r="BL365" t="s">
        <v>1802</v>
      </c>
      <c r="BM365" t="s">
        <v>4555</v>
      </c>
      <c r="BN365" t="s">
        <v>74</v>
      </c>
      <c r="BO365" t="s">
        <v>74</v>
      </c>
      <c r="BP365" t="s">
        <v>74</v>
      </c>
      <c r="BQ365" t="s">
        <v>74</v>
      </c>
      <c r="BR365" t="s">
        <v>101</v>
      </c>
      <c r="BS365" t="s">
        <v>4556</v>
      </c>
      <c r="BT365" t="str">
        <f>HYPERLINK("https%3A%2F%2Fwww.webofscience.com%2Fwos%2Fwoscc%2Ffull-record%2FWOS:000075635400016","View Full Record in Web of Science")</f>
        <v>View Full Record in Web of Science</v>
      </c>
    </row>
    <row r="366" spans="1:72" x14ac:dyDescent="0.15">
      <c r="A366" t="s">
        <v>2175</v>
      </c>
      <c r="B366" t="s">
        <v>4557</v>
      </c>
      <c r="C366" t="s">
        <v>74</v>
      </c>
      <c r="D366" t="s">
        <v>4558</v>
      </c>
      <c r="E366" t="s">
        <v>74</v>
      </c>
      <c r="F366" t="s">
        <v>4557</v>
      </c>
      <c r="G366" t="s">
        <v>74</v>
      </c>
      <c r="H366" t="s">
        <v>74</v>
      </c>
      <c r="I366" t="s">
        <v>4559</v>
      </c>
      <c r="J366" t="s">
        <v>4560</v>
      </c>
      <c r="K366" t="s">
        <v>4561</v>
      </c>
      <c r="L366" t="s">
        <v>74</v>
      </c>
      <c r="M366" t="s">
        <v>77</v>
      </c>
      <c r="N366" t="s">
        <v>2180</v>
      </c>
      <c r="O366" t="s">
        <v>4562</v>
      </c>
      <c r="P366" t="s">
        <v>4563</v>
      </c>
      <c r="Q366" t="s">
        <v>4564</v>
      </c>
      <c r="R366" t="s">
        <v>74</v>
      </c>
      <c r="S366" t="s">
        <v>74</v>
      </c>
      <c r="T366" t="s">
        <v>4565</v>
      </c>
      <c r="U366" t="s">
        <v>4566</v>
      </c>
      <c r="V366" t="s">
        <v>74</v>
      </c>
      <c r="W366" t="s">
        <v>4567</v>
      </c>
      <c r="X366" t="s">
        <v>4568</v>
      </c>
      <c r="Y366" t="s">
        <v>4569</v>
      </c>
      <c r="Z366" t="s">
        <v>74</v>
      </c>
      <c r="AA366" t="s">
        <v>4570</v>
      </c>
      <c r="AB366" t="s">
        <v>4571</v>
      </c>
      <c r="AC366" t="s">
        <v>74</v>
      </c>
      <c r="AD366" t="s">
        <v>74</v>
      </c>
      <c r="AE366" t="s">
        <v>74</v>
      </c>
      <c r="AF366" t="s">
        <v>74</v>
      </c>
      <c r="AG366">
        <v>33</v>
      </c>
      <c r="AH366">
        <v>2</v>
      </c>
      <c r="AI366">
        <v>2</v>
      </c>
      <c r="AJ366">
        <v>1</v>
      </c>
      <c r="AK366">
        <v>8</v>
      </c>
      <c r="AL366" t="s">
        <v>4572</v>
      </c>
      <c r="AM366" t="s">
        <v>4328</v>
      </c>
      <c r="AN366" t="s">
        <v>4573</v>
      </c>
      <c r="AO366" t="s">
        <v>4574</v>
      </c>
      <c r="AP366" t="s">
        <v>74</v>
      </c>
      <c r="AQ366" t="s">
        <v>4575</v>
      </c>
      <c r="AR366" t="s">
        <v>4576</v>
      </c>
      <c r="AS366" t="s">
        <v>74</v>
      </c>
      <c r="AT366" t="s">
        <v>74</v>
      </c>
      <c r="AU366">
        <v>1998</v>
      </c>
      <c r="AV366" t="s">
        <v>74</v>
      </c>
      <c r="AW366" t="s">
        <v>74</v>
      </c>
      <c r="AX366" t="s">
        <v>74</v>
      </c>
      <c r="AY366" t="s">
        <v>74</v>
      </c>
      <c r="AZ366" t="s">
        <v>74</v>
      </c>
      <c r="BA366" t="s">
        <v>74</v>
      </c>
      <c r="BB366">
        <v>229</v>
      </c>
      <c r="BC366">
        <v>250</v>
      </c>
      <c r="BD366" t="s">
        <v>74</v>
      </c>
      <c r="BE366" t="s">
        <v>74</v>
      </c>
      <c r="BF366" t="s">
        <v>74</v>
      </c>
      <c r="BG366" t="s">
        <v>74</v>
      </c>
      <c r="BH366" t="s">
        <v>74</v>
      </c>
      <c r="BI366">
        <v>22</v>
      </c>
      <c r="BJ366" t="s">
        <v>143</v>
      </c>
      <c r="BK366" t="s">
        <v>2189</v>
      </c>
      <c r="BL366" t="s">
        <v>143</v>
      </c>
      <c r="BM366" t="s">
        <v>4577</v>
      </c>
      <c r="BN366" t="s">
        <v>74</v>
      </c>
      <c r="BO366" t="s">
        <v>74</v>
      </c>
      <c r="BP366" t="s">
        <v>74</v>
      </c>
      <c r="BQ366" t="s">
        <v>74</v>
      </c>
      <c r="BR366" t="s">
        <v>101</v>
      </c>
      <c r="BS366" t="s">
        <v>4578</v>
      </c>
      <c r="BT366" t="str">
        <f>HYPERLINK("https%3A%2F%2Fwww.webofscience.com%2Fwos%2Fwoscc%2Ffull-record%2FWOS:000081875300013","View Full Record in Web of Science")</f>
        <v>View Full Record in Web of Science</v>
      </c>
    </row>
    <row r="367" spans="1:72" x14ac:dyDescent="0.15">
      <c r="A367" t="s">
        <v>2175</v>
      </c>
      <c r="B367" t="s">
        <v>4579</v>
      </c>
      <c r="C367" t="s">
        <v>74</v>
      </c>
      <c r="D367" t="s">
        <v>74</v>
      </c>
      <c r="E367" t="s">
        <v>4580</v>
      </c>
      <c r="F367" t="s">
        <v>4579</v>
      </c>
      <c r="G367" t="s">
        <v>74</v>
      </c>
      <c r="H367" t="s">
        <v>74</v>
      </c>
      <c r="I367" t="s">
        <v>4581</v>
      </c>
      <c r="J367" t="s">
        <v>4582</v>
      </c>
      <c r="K367" t="s">
        <v>4583</v>
      </c>
      <c r="L367" t="s">
        <v>74</v>
      </c>
      <c r="M367" t="s">
        <v>2735</v>
      </c>
      <c r="N367" t="s">
        <v>2180</v>
      </c>
      <c r="O367" t="s">
        <v>4584</v>
      </c>
      <c r="P367" t="s">
        <v>4585</v>
      </c>
      <c r="Q367" t="s">
        <v>4586</v>
      </c>
      <c r="R367" t="s">
        <v>74</v>
      </c>
      <c r="S367" t="s">
        <v>74</v>
      </c>
      <c r="T367" t="s">
        <v>74</v>
      </c>
      <c r="U367" t="s">
        <v>4587</v>
      </c>
      <c r="V367" t="s">
        <v>4588</v>
      </c>
      <c r="W367" t="s">
        <v>4589</v>
      </c>
      <c r="X367" t="s">
        <v>4590</v>
      </c>
      <c r="Y367" t="s">
        <v>4591</v>
      </c>
      <c r="Z367" t="s">
        <v>74</v>
      </c>
      <c r="AA367" t="s">
        <v>74</v>
      </c>
      <c r="AB367" t="s">
        <v>74</v>
      </c>
      <c r="AC367" t="s">
        <v>74</v>
      </c>
      <c r="AD367" t="s">
        <v>74</v>
      </c>
      <c r="AE367" t="s">
        <v>74</v>
      </c>
      <c r="AF367" t="s">
        <v>74</v>
      </c>
      <c r="AG367">
        <v>61</v>
      </c>
      <c r="AH367">
        <v>0</v>
      </c>
      <c r="AI367">
        <v>0</v>
      </c>
      <c r="AJ367">
        <v>1</v>
      </c>
      <c r="AK367">
        <v>2</v>
      </c>
      <c r="AL367" t="s">
        <v>4592</v>
      </c>
      <c r="AM367" t="s">
        <v>4328</v>
      </c>
      <c r="AN367" t="s">
        <v>4593</v>
      </c>
      <c r="AO367" t="s">
        <v>4594</v>
      </c>
      <c r="AP367" t="s">
        <v>74</v>
      </c>
      <c r="AQ367" t="s">
        <v>4595</v>
      </c>
      <c r="AR367" t="s">
        <v>4596</v>
      </c>
      <c r="AS367" t="s">
        <v>74</v>
      </c>
      <c r="AT367" t="s">
        <v>74</v>
      </c>
      <c r="AU367">
        <v>1998</v>
      </c>
      <c r="AV367" t="s">
        <v>74</v>
      </c>
      <c r="AW367" t="s">
        <v>74</v>
      </c>
      <c r="AX367" t="s">
        <v>74</v>
      </c>
      <c r="AY367" t="s">
        <v>74</v>
      </c>
      <c r="AZ367" t="s">
        <v>74</v>
      </c>
      <c r="BA367" t="s">
        <v>74</v>
      </c>
      <c r="BB367">
        <v>63</v>
      </c>
      <c r="BC367">
        <v>76</v>
      </c>
      <c r="BD367" t="s">
        <v>74</v>
      </c>
      <c r="BE367" t="s">
        <v>74</v>
      </c>
      <c r="BF367" t="s">
        <v>74</v>
      </c>
      <c r="BG367" t="s">
        <v>74</v>
      </c>
      <c r="BH367" t="s">
        <v>74</v>
      </c>
      <c r="BI367">
        <v>14</v>
      </c>
      <c r="BJ367" t="s">
        <v>4597</v>
      </c>
      <c r="BK367" t="s">
        <v>2189</v>
      </c>
      <c r="BL367" t="s">
        <v>4597</v>
      </c>
      <c r="BM367" t="s">
        <v>4598</v>
      </c>
      <c r="BN367" t="s">
        <v>74</v>
      </c>
      <c r="BO367" t="s">
        <v>74</v>
      </c>
      <c r="BP367" t="s">
        <v>74</v>
      </c>
      <c r="BQ367" t="s">
        <v>74</v>
      </c>
      <c r="BR367" t="s">
        <v>101</v>
      </c>
      <c r="BS367" t="s">
        <v>4599</v>
      </c>
      <c r="BT367" t="str">
        <f>HYPERLINK("https%3A%2F%2Fwww.webofscience.com%2Fwos%2Fwoscc%2Ffull-record%2FWOS:000084978600005","View Full Record in Web of Science")</f>
        <v>View Full Record in Web of Science</v>
      </c>
    </row>
    <row r="368" spans="1:72" x14ac:dyDescent="0.15">
      <c r="A368" t="s">
        <v>2175</v>
      </c>
      <c r="B368" t="s">
        <v>4600</v>
      </c>
      <c r="C368" t="s">
        <v>74</v>
      </c>
      <c r="D368" t="s">
        <v>4601</v>
      </c>
      <c r="E368" t="s">
        <v>74</v>
      </c>
      <c r="F368" t="s">
        <v>4600</v>
      </c>
      <c r="G368" t="s">
        <v>74</v>
      </c>
      <c r="H368" t="s">
        <v>74</v>
      </c>
      <c r="I368" t="s">
        <v>4602</v>
      </c>
      <c r="J368" t="s">
        <v>4603</v>
      </c>
      <c r="K368" t="s">
        <v>74</v>
      </c>
      <c r="L368" t="s">
        <v>74</v>
      </c>
      <c r="M368" t="s">
        <v>77</v>
      </c>
      <c r="N368" t="s">
        <v>2180</v>
      </c>
      <c r="O368" t="s">
        <v>4604</v>
      </c>
      <c r="P368" t="s">
        <v>4605</v>
      </c>
      <c r="Q368" t="s">
        <v>4606</v>
      </c>
      <c r="R368" t="s">
        <v>74</v>
      </c>
      <c r="S368" t="s">
        <v>74</v>
      </c>
      <c r="T368" t="s">
        <v>74</v>
      </c>
      <c r="U368" t="s">
        <v>74</v>
      </c>
      <c r="V368" t="s">
        <v>4607</v>
      </c>
      <c r="W368" t="s">
        <v>4608</v>
      </c>
      <c r="X368" t="s">
        <v>852</v>
      </c>
      <c r="Y368" t="s">
        <v>4609</v>
      </c>
      <c r="Z368" t="s">
        <v>74</v>
      </c>
      <c r="AA368" t="s">
        <v>74</v>
      </c>
      <c r="AB368" t="s">
        <v>74</v>
      </c>
      <c r="AC368" t="s">
        <v>74</v>
      </c>
      <c r="AD368" t="s">
        <v>74</v>
      </c>
      <c r="AE368" t="s">
        <v>74</v>
      </c>
      <c r="AF368" t="s">
        <v>74</v>
      </c>
      <c r="AG368">
        <v>0</v>
      </c>
      <c r="AH368">
        <v>11</v>
      </c>
      <c r="AI368">
        <v>11</v>
      </c>
      <c r="AJ368">
        <v>0</v>
      </c>
      <c r="AK368">
        <v>1</v>
      </c>
      <c r="AL368" t="s">
        <v>4610</v>
      </c>
      <c r="AM368" t="s">
        <v>1613</v>
      </c>
      <c r="AN368" t="s">
        <v>4611</v>
      </c>
      <c r="AO368" t="s">
        <v>74</v>
      </c>
      <c r="AP368" t="s">
        <v>74</v>
      </c>
      <c r="AQ368" t="s">
        <v>4612</v>
      </c>
      <c r="AR368" t="s">
        <v>74</v>
      </c>
      <c r="AS368" t="s">
        <v>74</v>
      </c>
      <c r="AT368" t="s">
        <v>74</v>
      </c>
      <c r="AU368">
        <v>1998</v>
      </c>
      <c r="AV368" t="s">
        <v>74</v>
      </c>
      <c r="AW368" t="s">
        <v>74</v>
      </c>
      <c r="AX368" t="s">
        <v>74</v>
      </c>
      <c r="AY368" t="s">
        <v>74</v>
      </c>
      <c r="AZ368" t="s">
        <v>74</v>
      </c>
      <c r="BA368" t="s">
        <v>74</v>
      </c>
      <c r="BB368">
        <v>251</v>
      </c>
      <c r="BC368">
        <v>257</v>
      </c>
      <c r="BD368" t="s">
        <v>74</v>
      </c>
      <c r="BE368" t="s">
        <v>74</v>
      </c>
      <c r="BF368" t="s">
        <v>74</v>
      </c>
      <c r="BG368" t="s">
        <v>74</v>
      </c>
      <c r="BH368" t="s">
        <v>74</v>
      </c>
      <c r="BI368">
        <v>7</v>
      </c>
      <c r="BJ368" t="s">
        <v>4613</v>
      </c>
      <c r="BK368" t="s">
        <v>2189</v>
      </c>
      <c r="BL368" t="s">
        <v>4614</v>
      </c>
      <c r="BM368" t="s">
        <v>4615</v>
      </c>
      <c r="BN368" t="s">
        <v>74</v>
      </c>
      <c r="BO368" t="s">
        <v>74</v>
      </c>
      <c r="BP368" t="s">
        <v>74</v>
      </c>
      <c r="BQ368" t="s">
        <v>74</v>
      </c>
      <c r="BR368" t="s">
        <v>101</v>
      </c>
      <c r="BS368" t="s">
        <v>4616</v>
      </c>
      <c r="BT368" t="str">
        <f>HYPERLINK("https%3A%2F%2Fwww.webofscience.com%2Fwos%2Fwoscc%2Ffull-record%2FWOS:000076720100036","View Full Record in Web of Science")</f>
        <v>View Full Record in Web of Science</v>
      </c>
    </row>
    <row r="369" spans="1:72" x14ac:dyDescent="0.15">
      <c r="A369" t="s">
        <v>2175</v>
      </c>
      <c r="B369" t="s">
        <v>4617</v>
      </c>
      <c r="C369" t="s">
        <v>74</v>
      </c>
      <c r="D369" t="s">
        <v>4601</v>
      </c>
      <c r="E369" t="s">
        <v>74</v>
      </c>
      <c r="F369" t="s">
        <v>4617</v>
      </c>
      <c r="G369" t="s">
        <v>74</v>
      </c>
      <c r="H369" t="s">
        <v>74</v>
      </c>
      <c r="I369" t="s">
        <v>4618</v>
      </c>
      <c r="J369" t="s">
        <v>4603</v>
      </c>
      <c r="K369" t="s">
        <v>74</v>
      </c>
      <c r="L369" t="s">
        <v>74</v>
      </c>
      <c r="M369" t="s">
        <v>77</v>
      </c>
      <c r="N369" t="s">
        <v>2180</v>
      </c>
      <c r="O369" t="s">
        <v>4604</v>
      </c>
      <c r="P369" t="s">
        <v>4605</v>
      </c>
      <c r="Q369" t="s">
        <v>4606</v>
      </c>
      <c r="R369" t="s">
        <v>74</v>
      </c>
      <c r="S369" t="s">
        <v>74</v>
      </c>
      <c r="T369" t="s">
        <v>74</v>
      </c>
      <c r="U369" t="s">
        <v>74</v>
      </c>
      <c r="V369" t="s">
        <v>4619</v>
      </c>
      <c r="W369" t="s">
        <v>4429</v>
      </c>
      <c r="X369" t="s">
        <v>852</v>
      </c>
      <c r="Y369" t="s">
        <v>4620</v>
      </c>
      <c r="Z369" t="s">
        <v>74</v>
      </c>
      <c r="AA369" t="s">
        <v>74</v>
      </c>
      <c r="AB369" t="s">
        <v>74</v>
      </c>
      <c r="AC369" t="s">
        <v>74</v>
      </c>
      <c r="AD369" t="s">
        <v>74</v>
      </c>
      <c r="AE369" t="s">
        <v>74</v>
      </c>
      <c r="AF369" t="s">
        <v>74</v>
      </c>
      <c r="AG369">
        <v>0</v>
      </c>
      <c r="AH369">
        <v>2</v>
      </c>
      <c r="AI369">
        <v>2</v>
      </c>
      <c r="AJ369">
        <v>0</v>
      </c>
      <c r="AK369">
        <v>1</v>
      </c>
      <c r="AL369" t="s">
        <v>4610</v>
      </c>
      <c r="AM369" t="s">
        <v>1613</v>
      </c>
      <c r="AN369" t="s">
        <v>4611</v>
      </c>
      <c r="AO369" t="s">
        <v>74</v>
      </c>
      <c r="AP369" t="s">
        <v>74</v>
      </c>
      <c r="AQ369" t="s">
        <v>4612</v>
      </c>
      <c r="AR369" t="s">
        <v>74</v>
      </c>
      <c r="AS369" t="s">
        <v>74</v>
      </c>
      <c r="AT369" t="s">
        <v>74</v>
      </c>
      <c r="AU369">
        <v>1998</v>
      </c>
      <c r="AV369" t="s">
        <v>74</v>
      </c>
      <c r="AW369" t="s">
        <v>74</v>
      </c>
      <c r="AX369" t="s">
        <v>74</v>
      </c>
      <c r="AY369" t="s">
        <v>74</v>
      </c>
      <c r="AZ369" t="s">
        <v>74</v>
      </c>
      <c r="BA369" t="s">
        <v>74</v>
      </c>
      <c r="BB369">
        <v>371</v>
      </c>
      <c r="BC369">
        <v>378</v>
      </c>
      <c r="BD369" t="s">
        <v>74</v>
      </c>
      <c r="BE369" t="s">
        <v>74</v>
      </c>
      <c r="BF369" t="s">
        <v>74</v>
      </c>
      <c r="BG369" t="s">
        <v>74</v>
      </c>
      <c r="BH369" t="s">
        <v>74</v>
      </c>
      <c r="BI369">
        <v>8</v>
      </c>
      <c r="BJ369" t="s">
        <v>4613</v>
      </c>
      <c r="BK369" t="s">
        <v>2189</v>
      </c>
      <c r="BL369" t="s">
        <v>4614</v>
      </c>
      <c r="BM369" t="s">
        <v>4615</v>
      </c>
      <c r="BN369" t="s">
        <v>74</v>
      </c>
      <c r="BO369" t="s">
        <v>74</v>
      </c>
      <c r="BP369" t="s">
        <v>74</v>
      </c>
      <c r="BQ369" t="s">
        <v>74</v>
      </c>
      <c r="BR369" t="s">
        <v>101</v>
      </c>
      <c r="BS369" t="s">
        <v>4621</v>
      </c>
      <c r="BT369" t="str">
        <f>HYPERLINK("https%3A%2F%2Fwww.webofscience.com%2Fwos%2Fwoscc%2Ffull-record%2FWOS:000076720100054","View Full Record in Web of Science")</f>
        <v>View Full Record in Web of Science</v>
      </c>
    </row>
    <row r="370" spans="1:72" x14ac:dyDescent="0.15">
      <c r="A370" t="s">
        <v>2175</v>
      </c>
      <c r="B370" t="s">
        <v>4622</v>
      </c>
      <c r="C370" t="s">
        <v>74</v>
      </c>
      <c r="D370" t="s">
        <v>4601</v>
      </c>
      <c r="E370" t="s">
        <v>74</v>
      </c>
      <c r="F370" t="s">
        <v>4622</v>
      </c>
      <c r="G370" t="s">
        <v>74</v>
      </c>
      <c r="H370" t="s">
        <v>74</v>
      </c>
      <c r="I370" t="s">
        <v>4623</v>
      </c>
      <c r="J370" t="s">
        <v>4603</v>
      </c>
      <c r="K370" t="s">
        <v>74</v>
      </c>
      <c r="L370" t="s">
        <v>74</v>
      </c>
      <c r="M370" t="s">
        <v>77</v>
      </c>
      <c r="N370" t="s">
        <v>2180</v>
      </c>
      <c r="O370" t="s">
        <v>4604</v>
      </c>
      <c r="P370" t="s">
        <v>4605</v>
      </c>
      <c r="Q370" t="s">
        <v>4606</v>
      </c>
      <c r="R370" t="s">
        <v>74</v>
      </c>
      <c r="S370" t="s">
        <v>74</v>
      </c>
      <c r="T370" t="s">
        <v>74</v>
      </c>
      <c r="U370" t="s">
        <v>74</v>
      </c>
      <c r="V370" t="s">
        <v>4624</v>
      </c>
      <c r="W370" t="s">
        <v>4429</v>
      </c>
      <c r="X370" t="s">
        <v>852</v>
      </c>
      <c r="Y370" t="s">
        <v>4625</v>
      </c>
      <c r="Z370" t="s">
        <v>74</v>
      </c>
      <c r="AA370" t="s">
        <v>4626</v>
      </c>
      <c r="AB370" t="s">
        <v>4627</v>
      </c>
      <c r="AC370" t="s">
        <v>74</v>
      </c>
      <c r="AD370" t="s">
        <v>74</v>
      </c>
      <c r="AE370" t="s">
        <v>74</v>
      </c>
      <c r="AF370" t="s">
        <v>74</v>
      </c>
      <c r="AG370">
        <v>0</v>
      </c>
      <c r="AH370">
        <v>0</v>
      </c>
      <c r="AI370">
        <v>0</v>
      </c>
      <c r="AJ370">
        <v>0</v>
      </c>
      <c r="AK370">
        <v>0</v>
      </c>
      <c r="AL370" t="s">
        <v>4610</v>
      </c>
      <c r="AM370" t="s">
        <v>1613</v>
      </c>
      <c r="AN370" t="s">
        <v>4611</v>
      </c>
      <c r="AO370" t="s">
        <v>74</v>
      </c>
      <c r="AP370" t="s">
        <v>74</v>
      </c>
      <c r="AQ370" t="s">
        <v>4612</v>
      </c>
      <c r="AR370" t="s">
        <v>74</v>
      </c>
      <c r="AS370" t="s">
        <v>74</v>
      </c>
      <c r="AT370" t="s">
        <v>74</v>
      </c>
      <c r="AU370">
        <v>1998</v>
      </c>
      <c r="AV370" t="s">
        <v>74</v>
      </c>
      <c r="AW370" t="s">
        <v>74</v>
      </c>
      <c r="AX370" t="s">
        <v>74</v>
      </c>
      <c r="AY370" t="s">
        <v>74</v>
      </c>
      <c r="AZ370" t="s">
        <v>74</v>
      </c>
      <c r="BA370" t="s">
        <v>74</v>
      </c>
      <c r="BB370">
        <v>391</v>
      </c>
      <c r="BC370">
        <v>395</v>
      </c>
      <c r="BD370" t="s">
        <v>74</v>
      </c>
      <c r="BE370" t="s">
        <v>74</v>
      </c>
      <c r="BF370" t="s">
        <v>74</v>
      </c>
      <c r="BG370" t="s">
        <v>74</v>
      </c>
      <c r="BH370" t="s">
        <v>74</v>
      </c>
      <c r="BI370">
        <v>5</v>
      </c>
      <c r="BJ370" t="s">
        <v>4613</v>
      </c>
      <c r="BK370" t="s">
        <v>2189</v>
      </c>
      <c r="BL370" t="s">
        <v>4614</v>
      </c>
      <c r="BM370" t="s">
        <v>4615</v>
      </c>
      <c r="BN370" t="s">
        <v>74</v>
      </c>
      <c r="BO370" t="s">
        <v>74</v>
      </c>
      <c r="BP370" t="s">
        <v>74</v>
      </c>
      <c r="BQ370" t="s">
        <v>74</v>
      </c>
      <c r="BR370" t="s">
        <v>101</v>
      </c>
      <c r="BS370" t="s">
        <v>4628</v>
      </c>
      <c r="BT370" t="str">
        <f>HYPERLINK("https%3A%2F%2Fwww.webofscience.com%2Fwos%2Fwoscc%2Ffull-record%2FWOS:000076720100057","View Full Record in Web of Science")</f>
        <v>View Full Record in Web of Science</v>
      </c>
    </row>
    <row r="371" spans="1:72" x14ac:dyDescent="0.15">
      <c r="A371" t="s">
        <v>2175</v>
      </c>
      <c r="B371" t="s">
        <v>4629</v>
      </c>
      <c r="C371" t="s">
        <v>74</v>
      </c>
      <c r="D371" t="s">
        <v>4601</v>
      </c>
      <c r="E371" t="s">
        <v>74</v>
      </c>
      <c r="F371" t="s">
        <v>4629</v>
      </c>
      <c r="G371" t="s">
        <v>74</v>
      </c>
      <c r="H371" t="s">
        <v>74</v>
      </c>
      <c r="I371" t="s">
        <v>4630</v>
      </c>
      <c r="J371" t="s">
        <v>4603</v>
      </c>
      <c r="K371" t="s">
        <v>74</v>
      </c>
      <c r="L371" t="s">
        <v>74</v>
      </c>
      <c r="M371" t="s">
        <v>77</v>
      </c>
      <c r="N371" t="s">
        <v>2180</v>
      </c>
      <c r="O371" t="s">
        <v>4604</v>
      </c>
      <c r="P371" t="s">
        <v>4605</v>
      </c>
      <c r="Q371" t="s">
        <v>4606</v>
      </c>
      <c r="R371" t="s">
        <v>74</v>
      </c>
      <c r="S371" t="s">
        <v>74</v>
      </c>
      <c r="T371" t="s">
        <v>74</v>
      </c>
      <c r="U371" t="s">
        <v>74</v>
      </c>
      <c r="V371" t="s">
        <v>4631</v>
      </c>
      <c r="W371" t="s">
        <v>4429</v>
      </c>
      <c r="X371" t="s">
        <v>852</v>
      </c>
      <c r="Y371" t="s">
        <v>4632</v>
      </c>
      <c r="Z371" t="s">
        <v>74</v>
      </c>
      <c r="AA371" t="s">
        <v>74</v>
      </c>
      <c r="AB371" t="s">
        <v>74</v>
      </c>
      <c r="AC371" t="s">
        <v>74</v>
      </c>
      <c r="AD371" t="s">
        <v>74</v>
      </c>
      <c r="AE371" t="s">
        <v>74</v>
      </c>
      <c r="AF371" t="s">
        <v>74</v>
      </c>
      <c r="AG371">
        <v>0</v>
      </c>
      <c r="AH371">
        <v>0</v>
      </c>
      <c r="AI371">
        <v>0</v>
      </c>
      <c r="AJ371">
        <v>1</v>
      </c>
      <c r="AK371">
        <v>1</v>
      </c>
      <c r="AL371" t="s">
        <v>4610</v>
      </c>
      <c r="AM371" t="s">
        <v>1613</v>
      </c>
      <c r="AN371" t="s">
        <v>4611</v>
      </c>
      <c r="AO371" t="s">
        <v>74</v>
      </c>
      <c r="AP371" t="s">
        <v>74</v>
      </c>
      <c r="AQ371" t="s">
        <v>4612</v>
      </c>
      <c r="AR371" t="s">
        <v>74</v>
      </c>
      <c r="AS371" t="s">
        <v>74</v>
      </c>
      <c r="AT371" t="s">
        <v>74</v>
      </c>
      <c r="AU371">
        <v>1998</v>
      </c>
      <c r="AV371" t="s">
        <v>74</v>
      </c>
      <c r="AW371" t="s">
        <v>74</v>
      </c>
      <c r="AX371" t="s">
        <v>74</v>
      </c>
      <c r="AY371" t="s">
        <v>74</v>
      </c>
      <c r="AZ371" t="s">
        <v>74</v>
      </c>
      <c r="BA371" t="s">
        <v>74</v>
      </c>
      <c r="BB371">
        <v>405</v>
      </c>
      <c r="BC371">
        <v>410</v>
      </c>
      <c r="BD371" t="s">
        <v>74</v>
      </c>
      <c r="BE371" t="s">
        <v>74</v>
      </c>
      <c r="BF371" t="s">
        <v>74</v>
      </c>
      <c r="BG371" t="s">
        <v>74</v>
      </c>
      <c r="BH371" t="s">
        <v>74</v>
      </c>
      <c r="BI371">
        <v>6</v>
      </c>
      <c r="BJ371" t="s">
        <v>4613</v>
      </c>
      <c r="BK371" t="s">
        <v>2189</v>
      </c>
      <c r="BL371" t="s">
        <v>4614</v>
      </c>
      <c r="BM371" t="s">
        <v>4615</v>
      </c>
      <c r="BN371" t="s">
        <v>74</v>
      </c>
      <c r="BO371" t="s">
        <v>74</v>
      </c>
      <c r="BP371" t="s">
        <v>74</v>
      </c>
      <c r="BQ371" t="s">
        <v>74</v>
      </c>
      <c r="BR371" t="s">
        <v>101</v>
      </c>
      <c r="BS371" t="s">
        <v>4633</v>
      </c>
      <c r="BT371" t="str">
        <f>HYPERLINK("https%3A%2F%2Fwww.webofscience.com%2Fwos%2Fwoscc%2Ffull-record%2FWOS:000076720100059","View Full Record in Web of Science")</f>
        <v>View Full Record in Web of Science</v>
      </c>
    </row>
    <row r="372" spans="1:72" x14ac:dyDescent="0.15">
      <c r="A372" t="s">
        <v>2175</v>
      </c>
      <c r="B372" t="s">
        <v>4634</v>
      </c>
      <c r="C372" t="s">
        <v>74</v>
      </c>
      <c r="D372" t="s">
        <v>4635</v>
      </c>
      <c r="E372" t="s">
        <v>74</v>
      </c>
      <c r="F372" t="s">
        <v>4634</v>
      </c>
      <c r="G372" t="s">
        <v>74</v>
      </c>
      <c r="H372" t="s">
        <v>74</v>
      </c>
      <c r="I372" t="s">
        <v>4636</v>
      </c>
      <c r="J372" t="s">
        <v>4637</v>
      </c>
      <c r="K372" t="s">
        <v>4638</v>
      </c>
      <c r="L372" t="s">
        <v>74</v>
      </c>
      <c r="M372" t="s">
        <v>77</v>
      </c>
      <c r="N372" t="s">
        <v>2180</v>
      </c>
      <c r="O372" t="s">
        <v>4639</v>
      </c>
      <c r="P372" t="s">
        <v>4640</v>
      </c>
      <c r="Q372" t="s">
        <v>4641</v>
      </c>
      <c r="R372" t="s">
        <v>74</v>
      </c>
      <c r="S372" t="s">
        <v>74</v>
      </c>
      <c r="T372" t="s">
        <v>74</v>
      </c>
      <c r="U372" t="s">
        <v>74</v>
      </c>
      <c r="V372" t="s">
        <v>4642</v>
      </c>
      <c r="W372" t="s">
        <v>4643</v>
      </c>
      <c r="X372" t="s">
        <v>74</v>
      </c>
      <c r="Y372" t="s">
        <v>4644</v>
      </c>
      <c r="Z372" t="s">
        <v>74</v>
      </c>
      <c r="AA372" t="s">
        <v>74</v>
      </c>
      <c r="AB372" t="s">
        <v>74</v>
      </c>
      <c r="AC372" t="s">
        <v>74</v>
      </c>
      <c r="AD372" t="s">
        <v>74</v>
      </c>
      <c r="AE372" t="s">
        <v>74</v>
      </c>
      <c r="AF372" t="s">
        <v>74</v>
      </c>
      <c r="AG372">
        <v>0</v>
      </c>
      <c r="AH372">
        <v>0</v>
      </c>
      <c r="AI372">
        <v>0</v>
      </c>
      <c r="AJ372">
        <v>0</v>
      </c>
      <c r="AK372">
        <v>2</v>
      </c>
      <c r="AL372" t="s">
        <v>2177</v>
      </c>
      <c r="AM372" t="s">
        <v>244</v>
      </c>
      <c r="AN372" t="s">
        <v>2186</v>
      </c>
      <c r="AO372" t="s">
        <v>74</v>
      </c>
      <c r="AP372" t="s">
        <v>74</v>
      </c>
      <c r="AQ372" t="s">
        <v>4645</v>
      </c>
      <c r="AR372" t="s">
        <v>4646</v>
      </c>
      <c r="AS372" t="s">
        <v>74</v>
      </c>
      <c r="AT372" t="s">
        <v>74</v>
      </c>
      <c r="AU372">
        <v>1998</v>
      </c>
      <c r="AV372" t="s">
        <v>74</v>
      </c>
      <c r="AW372" t="s">
        <v>74</v>
      </c>
      <c r="AX372" t="s">
        <v>74</v>
      </c>
      <c r="AY372" t="s">
        <v>74</v>
      </c>
      <c r="AZ372" t="s">
        <v>74</v>
      </c>
      <c r="BA372" t="s">
        <v>74</v>
      </c>
      <c r="BB372">
        <v>265</v>
      </c>
      <c r="BC372">
        <v>267</v>
      </c>
      <c r="BD372" t="s">
        <v>74</v>
      </c>
      <c r="BE372" t="s">
        <v>4647</v>
      </c>
      <c r="BF372" t="str">
        <f>HYPERLINK("http://dx.doi.org/10.1109/IGARSS.1998.702873","http://dx.doi.org/10.1109/IGARSS.1998.702873")</f>
        <v>http://dx.doi.org/10.1109/IGARSS.1998.702873</v>
      </c>
      <c r="BG372" t="s">
        <v>74</v>
      </c>
      <c r="BH372" t="s">
        <v>74</v>
      </c>
      <c r="BI372">
        <v>3</v>
      </c>
      <c r="BJ372" t="s">
        <v>4648</v>
      </c>
      <c r="BK372" t="s">
        <v>2189</v>
      </c>
      <c r="BL372" t="s">
        <v>4649</v>
      </c>
      <c r="BM372" t="s">
        <v>4650</v>
      </c>
      <c r="BN372" t="s">
        <v>74</v>
      </c>
      <c r="BO372" t="s">
        <v>74</v>
      </c>
      <c r="BP372" t="s">
        <v>74</v>
      </c>
      <c r="BQ372" t="s">
        <v>74</v>
      </c>
      <c r="BR372" t="s">
        <v>101</v>
      </c>
      <c r="BS372" t="s">
        <v>4651</v>
      </c>
      <c r="BT372" t="str">
        <f>HYPERLINK("https%3A%2F%2Fwww.webofscience.com%2Fwos%2Fwoscc%2Ffull-record%2FWOS:000075217100088","View Full Record in Web of Science")</f>
        <v>View Full Record in Web of Science</v>
      </c>
    </row>
    <row r="373" spans="1:72" x14ac:dyDescent="0.15">
      <c r="A373" t="s">
        <v>2175</v>
      </c>
      <c r="B373" t="s">
        <v>4652</v>
      </c>
      <c r="C373" t="s">
        <v>74</v>
      </c>
      <c r="D373" t="s">
        <v>4635</v>
      </c>
      <c r="E373" t="s">
        <v>74</v>
      </c>
      <c r="F373" t="s">
        <v>4652</v>
      </c>
      <c r="G373" t="s">
        <v>74</v>
      </c>
      <c r="H373" t="s">
        <v>74</v>
      </c>
      <c r="I373" t="s">
        <v>4653</v>
      </c>
      <c r="J373" t="s">
        <v>4637</v>
      </c>
      <c r="K373" t="s">
        <v>4638</v>
      </c>
      <c r="L373" t="s">
        <v>74</v>
      </c>
      <c r="M373" t="s">
        <v>77</v>
      </c>
      <c r="N373" t="s">
        <v>2180</v>
      </c>
      <c r="O373" t="s">
        <v>4639</v>
      </c>
      <c r="P373" t="s">
        <v>4640</v>
      </c>
      <c r="Q373" t="s">
        <v>4641</v>
      </c>
      <c r="R373" t="s">
        <v>74</v>
      </c>
      <c r="S373" t="s">
        <v>74</v>
      </c>
      <c r="T373" t="s">
        <v>74</v>
      </c>
      <c r="U373" t="s">
        <v>74</v>
      </c>
      <c r="V373" t="s">
        <v>4654</v>
      </c>
      <c r="W373" t="s">
        <v>4655</v>
      </c>
      <c r="X373" t="s">
        <v>4656</v>
      </c>
      <c r="Y373" t="s">
        <v>4657</v>
      </c>
      <c r="Z373" t="s">
        <v>74</v>
      </c>
      <c r="AA373" t="s">
        <v>74</v>
      </c>
      <c r="AB373" t="s">
        <v>74</v>
      </c>
      <c r="AC373" t="s">
        <v>74</v>
      </c>
      <c r="AD373" t="s">
        <v>74</v>
      </c>
      <c r="AE373" t="s">
        <v>74</v>
      </c>
      <c r="AF373" t="s">
        <v>74</v>
      </c>
      <c r="AG373">
        <v>0</v>
      </c>
      <c r="AH373">
        <v>0</v>
      </c>
      <c r="AI373">
        <v>0</v>
      </c>
      <c r="AJ373">
        <v>0</v>
      </c>
      <c r="AK373">
        <v>0</v>
      </c>
      <c r="AL373" t="s">
        <v>2177</v>
      </c>
      <c r="AM373" t="s">
        <v>244</v>
      </c>
      <c r="AN373" t="s">
        <v>2186</v>
      </c>
      <c r="AO373" t="s">
        <v>74</v>
      </c>
      <c r="AP373" t="s">
        <v>74</v>
      </c>
      <c r="AQ373" t="s">
        <v>4645</v>
      </c>
      <c r="AR373" t="s">
        <v>4646</v>
      </c>
      <c r="AS373" t="s">
        <v>74</v>
      </c>
      <c r="AT373" t="s">
        <v>74</v>
      </c>
      <c r="AU373">
        <v>1998</v>
      </c>
      <c r="AV373" t="s">
        <v>74</v>
      </c>
      <c r="AW373" t="s">
        <v>74</v>
      </c>
      <c r="AX373" t="s">
        <v>74</v>
      </c>
      <c r="AY373" t="s">
        <v>74</v>
      </c>
      <c r="AZ373" t="s">
        <v>74</v>
      </c>
      <c r="BA373" t="s">
        <v>74</v>
      </c>
      <c r="BB373">
        <v>980</v>
      </c>
      <c r="BC373">
        <v>982</v>
      </c>
      <c r="BD373" t="s">
        <v>74</v>
      </c>
      <c r="BE373" t="s">
        <v>4658</v>
      </c>
      <c r="BF373" t="str">
        <f>HYPERLINK("http://dx.doi.org/10.1109/IGARSS.1998.699646","http://dx.doi.org/10.1109/IGARSS.1998.699646")</f>
        <v>http://dx.doi.org/10.1109/IGARSS.1998.699646</v>
      </c>
      <c r="BG373" t="s">
        <v>74</v>
      </c>
      <c r="BH373" t="s">
        <v>74</v>
      </c>
      <c r="BI373">
        <v>3</v>
      </c>
      <c r="BJ373" t="s">
        <v>4648</v>
      </c>
      <c r="BK373" t="s">
        <v>2189</v>
      </c>
      <c r="BL373" t="s">
        <v>4649</v>
      </c>
      <c r="BM373" t="s">
        <v>4650</v>
      </c>
      <c r="BN373" t="s">
        <v>74</v>
      </c>
      <c r="BO373" t="s">
        <v>74</v>
      </c>
      <c r="BP373" t="s">
        <v>74</v>
      </c>
      <c r="BQ373" t="s">
        <v>74</v>
      </c>
      <c r="BR373" t="s">
        <v>101</v>
      </c>
      <c r="BS373" t="s">
        <v>4659</v>
      </c>
      <c r="BT373" t="str">
        <f>HYPERLINK("https%3A%2F%2Fwww.webofscience.com%2Fwos%2Fwoscc%2Ffull-record%2FWOS:000075217100318","View Full Record in Web of Science")</f>
        <v>View Full Record in Web of Science</v>
      </c>
    </row>
    <row r="374" spans="1:72" x14ac:dyDescent="0.15">
      <c r="A374" t="s">
        <v>2175</v>
      </c>
      <c r="B374" t="s">
        <v>4660</v>
      </c>
      <c r="C374" t="s">
        <v>74</v>
      </c>
      <c r="D374" t="s">
        <v>4635</v>
      </c>
      <c r="E374" t="s">
        <v>74</v>
      </c>
      <c r="F374" t="s">
        <v>4660</v>
      </c>
      <c r="G374" t="s">
        <v>74</v>
      </c>
      <c r="H374" t="s">
        <v>74</v>
      </c>
      <c r="I374" t="s">
        <v>4661</v>
      </c>
      <c r="J374" t="s">
        <v>4637</v>
      </c>
      <c r="K374" t="s">
        <v>4638</v>
      </c>
      <c r="L374" t="s">
        <v>74</v>
      </c>
      <c r="M374" t="s">
        <v>77</v>
      </c>
      <c r="N374" t="s">
        <v>2180</v>
      </c>
      <c r="O374" t="s">
        <v>4639</v>
      </c>
      <c r="P374" t="s">
        <v>4640</v>
      </c>
      <c r="Q374" t="s">
        <v>4641</v>
      </c>
      <c r="R374" t="s">
        <v>74</v>
      </c>
      <c r="S374" t="s">
        <v>74</v>
      </c>
      <c r="T374" t="s">
        <v>74</v>
      </c>
      <c r="U374" t="s">
        <v>74</v>
      </c>
      <c r="V374" t="s">
        <v>4662</v>
      </c>
      <c r="W374" t="s">
        <v>4663</v>
      </c>
      <c r="X374" t="s">
        <v>2835</v>
      </c>
      <c r="Y374" t="s">
        <v>4664</v>
      </c>
      <c r="Z374" t="s">
        <v>74</v>
      </c>
      <c r="AA374" t="s">
        <v>74</v>
      </c>
      <c r="AB374" t="s">
        <v>74</v>
      </c>
      <c r="AC374" t="s">
        <v>74</v>
      </c>
      <c r="AD374" t="s">
        <v>74</v>
      </c>
      <c r="AE374" t="s">
        <v>74</v>
      </c>
      <c r="AF374" t="s">
        <v>74</v>
      </c>
      <c r="AG374">
        <v>0</v>
      </c>
      <c r="AH374">
        <v>1</v>
      </c>
      <c r="AI374">
        <v>1</v>
      </c>
      <c r="AJ374">
        <v>0</v>
      </c>
      <c r="AK374">
        <v>1</v>
      </c>
      <c r="AL374" t="s">
        <v>2177</v>
      </c>
      <c r="AM374" t="s">
        <v>244</v>
      </c>
      <c r="AN374" t="s">
        <v>2186</v>
      </c>
      <c r="AO374" t="s">
        <v>74</v>
      </c>
      <c r="AP374" t="s">
        <v>74</v>
      </c>
      <c r="AQ374" t="s">
        <v>4645</v>
      </c>
      <c r="AR374" t="s">
        <v>4646</v>
      </c>
      <c r="AS374" t="s">
        <v>74</v>
      </c>
      <c r="AT374" t="s">
        <v>74</v>
      </c>
      <c r="AU374">
        <v>1998</v>
      </c>
      <c r="AV374" t="s">
        <v>74</v>
      </c>
      <c r="AW374" t="s">
        <v>74</v>
      </c>
      <c r="AX374" t="s">
        <v>74</v>
      </c>
      <c r="AY374" t="s">
        <v>74</v>
      </c>
      <c r="AZ374" t="s">
        <v>74</v>
      </c>
      <c r="BA374" t="s">
        <v>74</v>
      </c>
      <c r="BB374">
        <v>1424</v>
      </c>
      <c r="BC374">
        <v>1427</v>
      </c>
      <c r="BD374" t="s">
        <v>74</v>
      </c>
      <c r="BE374" t="s">
        <v>4665</v>
      </c>
      <c r="BF374" t="str">
        <f>HYPERLINK("http://dx.doi.org/10.1109/IGARSS.1998.691470","http://dx.doi.org/10.1109/IGARSS.1998.691470")</f>
        <v>http://dx.doi.org/10.1109/IGARSS.1998.691470</v>
      </c>
      <c r="BG374" t="s">
        <v>74</v>
      </c>
      <c r="BH374" t="s">
        <v>74</v>
      </c>
      <c r="BI374">
        <v>4</v>
      </c>
      <c r="BJ374" t="s">
        <v>4648</v>
      </c>
      <c r="BK374" t="s">
        <v>2189</v>
      </c>
      <c r="BL374" t="s">
        <v>4649</v>
      </c>
      <c r="BM374" t="s">
        <v>4650</v>
      </c>
      <c r="BN374" t="s">
        <v>74</v>
      </c>
      <c r="BO374" t="s">
        <v>74</v>
      </c>
      <c r="BP374" t="s">
        <v>74</v>
      </c>
      <c r="BQ374" t="s">
        <v>74</v>
      </c>
      <c r="BR374" t="s">
        <v>101</v>
      </c>
      <c r="BS374" t="s">
        <v>4666</v>
      </c>
      <c r="BT374" t="str">
        <f>HYPERLINK("https%3A%2F%2Fwww.webofscience.com%2Fwos%2Fwoscc%2Ffull-record%2FWOS:000075217100461","View Full Record in Web of Science")</f>
        <v>View Full Record in Web of Science</v>
      </c>
    </row>
    <row r="375" spans="1:72" x14ac:dyDescent="0.15">
      <c r="A375" t="s">
        <v>2175</v>
      </c>
      <c r="B375" t="s">
        <v>4667</v>
      </c>
      <c r="C375" t="s">
        <v>74</v>
      </c>
      <c r="D375" t="s">
        <v>4635</v>
      </c>
      <c r="E375" t="s">
        <v>74</v>
      </c>
      <c r="F375" t="s">
        <v>4667</v>
      </c>
      <c r="G375" t="s">
        <v>74</v>
      </c>
      <c r="H375" t="s">
        <v>74</v>
      </c>
      <c r="I375" t="s">
        <v>4668</v>
      </c>
      <c r="J375" t="s">
        <v>4637</v>
      </c>
      <c r="K375" t="s">
        <v>4638</v>
      </c>
      <c r="L375" t="s">
        <v>74</v>
      </c>
      <c r="M375" t="s">
        <v>77</v>
      </c>
      <c r="N375" t="s">
        <v>2180</v>
      </c>
      <c r="O375" t="s">
        <v>4639</v>
      </c>
      <c r="P375" t="s">
        <v>4640</v>
      </c>
      <c r="Q375" t="s">
        <v>4641</v>
      </c>
      <c r="R375" t="s">
        <v>74</v>
      </c>
      <c r="S375" t="s">
        <v>74</v>
      </c>
      <c r="T375" t="s">
        <v>74</v>
      </c>
      <c r="U375" t="s">
        <v>74</v>
      </c>
      <c r="V375" t="s">
        <v>4669</v>
      </c>
      <c r="W375" t="s">
        <v>4670</v>
      </c>
      <c r="X375" t="s">
        <v>74</v>
      </c>
      <c r="Y375" t="s">
        <v>4671</v>
      </c>
      <c r="Z375" t="s">
        <v>74</v>
      </c>
      <c r="AA375" t="s">
        <v>4672</v>
      </c>
      <c r="AB375" t="s">
        <v>4673</v>
      </c>
      <c r="AC375" t="s">
        <v>74</v>
      </c>
      <c r="AD375" t="s">
        <v>74</v>
      </c>
      <c r="AE375" t="s">
        <v>74</v>
      </c>
      <c r="AF375" t="s">
        <v>74</v>
      </c>
      <c r="AG375">
        <v>0</v>
      </c>
      <c r="AH375">
        <v>1</v>
      </c>
      <c r="AI375">
        <v>1</v>
      </c>
      <c r="AJ375">
        <v>0</v>
      </c>
      <c r="AK375">
        <v>1</v>
      </c>
      <c r="AL375" t="s">
        <v>2177</v>
      </c>
      <c r="AM375" t="s">
        <v>244</v>
      </c>
      <c r="AN375" t="s">
        <v>2186</v>
      </c>
      <c r="AO375" t="s">
        <v>74</v>
      </c>
      <c r="AP375" t="s">
        <v>74</v>
      </c>
      <c r="AQ375" t="s">
        <v>4645</v>
      </c>
      <c r="AR375" t="s">
        <v>4646</v>
      </c>
      <c r="AS375" t="s">
        <v>74</v>
      </c>
      <c r="AT375" t="s">
        <v>74</v>
      </c>
      <c r="AU375">
        <v>1998</v>
      </c>
      <c r="AV375" t="s">
        <v>74</v>
      </c>
      <c r="AW375" t="s">
        <v>74</v>
      </c>
      <c r="AX375" t="s">
        <v>74</v>
      </c>
      <c r="AY375" t="s">
        <v>74</v>
      </c>
      <c r="AZ375" t="s">
        <v>74</v>
      </c>
      <c r="BA375" t="s">
        <v>74</v>
      </c>
      <c r="BB375">
        <v>1434</v>
      </c>
      <c r="BC375">
        <v>1436</v>
      </c>
      <c r="BD375" t="s">
        <v>74</v>
      </c>
      <c r="BE375" t="s">
        <v>4674</v>
      </c>
      <c r="BF375" t="str">
        <f>HYPERLINK("http://dx.doi.org/10.1109/IGARSS.1998.691480","http://dx.doi.org/10.1109/IGARSS.1998.691480")</f>
        <v>http://dx.doi.org/10.1109/IGARSS.1998.691480</v>
      </c>
      <c r="BG375" t="s">
        <v>74</v>
      </c>
      <c r="BH375" t="s">
        <v>74</v>
      </c>
      <c r="BI375">
        <v>3</v>
      </c>
      <c r="BJ375" t="s">
        <v>4648</v>
      </c>
      <c r="BK375" t="s">
        <v>2189</v>
      </c>
      <c r="BL375" t="s">
        <v>4649</v>
      </c>
      <c r="BM375" t="s">
        <v>4650</v>
      </c>
      <c r="BN375" t="s">
        <v>74</v>
      </c>
      <c r="BO375" t="s">
        <v>74</v>
      </c>
      <c r="BP375" t="s">
        <v>74</v>
      </c>
      <c r="BQ375" t="s">
        <v>74</v>
      </c>
      <c r="BR375" t="s">
        <v>101</v>
      </c>
      <c r="BS375" t="s">
        <v>4675</v>
      </c>
      <c r="BT375" t="str">
        <f>HYPERLINK("https%3A%2F%2Fwww.webofscience.com%2Fwos%2Fwoscc%2Ffull-record%2FWOS:000075217100464","View Full Record in Web of Science")</f>
        <v>View Full Record in Web of Science</v>
      </c>
    </row>
    <row r="376" spans="1:72" x14ac:dyDescent="0.15">
      <c r="A376" t="s">
        <v>2175</v>
      </c>
      <c r="B376" t="s">
        <v>4676</v>
      </c>
      <c r="C376" t="s">
        <v>74</v>
      </c>
      <c r="D376" t="s">
        <v>4635</v>
      </c>
      <c r="E376" t="s">
        <v>74</v>
      </c>
      <c r="F376" t="s">
        <v>4676</v>
      </c>
      <c r="G376" t="s">
        <v>74</v>
      </c>
      <c r="H376" t="s">
        <v>74</v>
      </c>
      <c r="I376" t="s">
        <v>4677</v>
      </c>
      <c r="J376" t="s">
        <v>4637</v>
      </c>
      <c r="K376" t="s">
        <v>4638</v>
      </c>
      <c r="L376" t="s">
        <v>74</v>
      </c>
      <c r="M376" t="s">
        <v>77</v>
      </c>
      <c r="N376" t="s">
        <v>2180</v>
      </c>
      <c r="O376" t="s">
        <v>4639</v>
      </c>
      <c r="P376" t="s">
        <v>4640</v>
      </c>
      <c r="Q376" t="s">
        <v>4641</v>
      </c>
      <c r="R376" t="s">
        <v>74</v>
      </c>
      <c r="S376" t="s">
        <v>74</v>
      </c>
      <c r="T376" t="s">
        <v>74</v>
      </c>
      <c r="U376" t="s">
        <v>74</v>
      </c>
      <c r="V376" t="s">
        <v>4678</v>
      </c>
      <c r="W376" t="s">
        <v>4679</v>
      </c>
      <c r="X376" t="s">
        <v>4680</v>
      </c>
      <c r="Y376" t="s">
        <v>4681</v>
      </c>
      <c r="Z376" t="s">
        <v>74</v>
      </c>
      <c r="AA376" t="s">
        <v>74</v>
      </c>
      <c r="AB376" t="s">
        <v>74</v>
      </c>
      <c r="AC376" t="s">
        <v>74</v>
      </c>
      <c r="AD376" t="s">
        <v>74</v>
      </c>
      <c r="AE376" t="s">
        <v>74</v>
      </c>
      <c r="AF376" t="s">
        <v>74</v>
      </c>
      <c r="AG376">
        <v>0</v>
      </c>
      <c r="AH376">
        <v>2</v>
      </c>
      <c r="AI376">
        <v>2</v>
      </c>
      <c r="AJ376">
        <v>0</v>
      </c>
      <c r="AK376">
        <v>0</v>
      </c>
      <c r="AL376" t="s">
        <v>2177</v>
      </c>
      <c r="AM376" t="s">
        <v>244</v>
      </c>
      <c r="AN376" t="s">
        <v>2186</v>
      </c>
      <c r="AO376" t="s">
        <v>74</v>
      </c>
      <c r="AP376" t="s">
        <v>74</v>
      </c>
      <c r="AQ376" t="s">
        <v>4645</v>
      </c>
      <c r="AR376" t="s">
        <v>4646</v>
      </c>
      <c r="AS376" t="s">
        <v>74</v>
      </c>
      <c r="AT376" t="s">
        <v>74</v>
      </c>
      <c r="AU376">
        <v>1998</v>
      </c>
      <c r="AV376" t="s">
        <v>74</v>
      </c>
      <c r="AW376" t="s">
        <v>74</v>
      </c>
      <c r="AX376" t="s">
        <v>74</v>
      </c>
      <c r="AY376" t="s">
        <v>74</v>
      </c>
      <c r="AZ376" t="s">
        <v>74</v>
      </c>
      <c r="BA376" t="s">
        <v>74</v>
      </c>
      <c r="BB376">
        <v>1439</v>
      </c>
      <c r="BC376">
        <v>1441</v>
      </c>
      <c r="BD376" t="s">
        <v>74</v>
      </c>
      <c r="BE376" t="s">
        <v>4682</v>
      </c>
      <c r="BF376" t="str">
        <f>HYPERLINK("http://dx.doi.org/10.1109/IGARSS.1998.691486","http://dx.doi.org/10.1109/IGARSS.1998.691486")</f>
        <v>http://dx.doi.org/10.1109/IGARSS.1998.691486</v>
      </c>
      <c r="BG376" t="s">
        <v>74</v>
      </c>
      <c r="BH376" t="s">
        <v>74</v>
      </c>
      <c r="BI376">
        <v>3</v>
      </c>
      <c r="BJ376" t="s">
        <v>4648</v>
      </c>
      <c r="BK376" t="s">
        <v>2189</v>
      </c>
      <c r="BL376" t="s">
        <v>4649</v>
      </c>
      <c r="BM376" t="s">
        <v>4650</v>
      </c>
      <c r="BN376" t="s">
        <v>74</v>
      </c>
      <c r="BO376" t="s">
        <v>74</v>
      </c>
      <c r="BP376" t="s">
        <v>74</v>
      </c>
      <c r="BQ376" t="s">
        <v>74</v>
      </c>
      <c r="BR376" t="s">
        <v>101</v>
      </c>
      <c r="BS376" t="s">
        <v>4683</v>
      </c>
      <c r="BT376" t="str">
        <f>HYPERLINK("https%3A%2F%2Fwww.webofscience.com%2Fwos%2Fwoscc%2Ffull-record%2FWOS:000075217100466","View Full Record in Web of Science")</f>
        <v>View Full Record in Web of Science</v>
      </c>
    </row>
    <row r="377" spans="1:72" x14ac:dyDescent="0.15">
      <c r="A377" t="s">
        <v>2175</v>
      </c>
      <c r="B377" t="s">
        <v>4684</v>
      </c>
      <c r="C377" t="s">
        <v>74</v>
      </c>
      <c r="D377" t="s">
        <v>4635</v>
      </c>
      <c r="E377" t="s">
        <v>74</v>
      </c>
      <c r="F377" t="s">
        <v>4684</v>
      </c>
      <c r="G377" t="s">
        <v>74</v>
      </c>
      <c r="H377" t="s">
        <v>74</v>
      </c>
      <c r="I377" t="s">
        <v>4685</v>
      </c>
      <c r="J377" t="s">
        <v>4637</v>
      </c>
      <c r="K377" t="s">
        <v>4638</v>
      </c>
      <c r="L377" t="s">
        <v>74</v>
      </c>
      <c r="M377" t="s">
        <v>77</v>
      </c>
      <c r="N377" t="s">
        <v>2180</v>
      </c>
      <c r="O377" t="s">
        <v>4639</v>
      </c>
      <c r="P377" t="s">
        <v>4640</v>
      </c>
      <c r="Q377" t="s">
        <v>4641</v>
      </c>
      <c r="R377" t="s">
        <v>74</v>
      </c>
      <c r="S377" t="s">
        <v>74</v>
      </c>
      <c r="T377" t="s">
        <v>74</v>
      </c>
      <c r="U377" t="s">
        <v>74</v>
      </c>
      <c r="V377" t="s">
        <v>4686</v>
      </c>
      <c r="W377" t="s">
        <v>4687</v>
      </c>
      <c r="X377" t="s">
        <v>1714</v>
      </c>
      <c r="Y377" t="s">
        <v>4688</v>
      </c>
      <c r="Z377" t="s">
        <v>74</v>
      </c>
      <c r="AA377" t="s">
        <v>4689</v>
      </c>
      <c r="AB377" t="s">
        <v>74</v>
      </c>
      <c r="AC377" t="s">
        <v>74</v>
      </c>
      <c r="AD377" t="s">
        <v>74</v>
      </c>
      <c r="AE377" t="s">
        <v>74</v>
      </c>
      <c r="AF377" t="s">
        <v>74</v>
      </c>
      <c r="AG377">
        <v>0</v>
      </c>
      <c r="AH377">
        <v>0</v>
      </c>
      <c r="AI377">
        <v>0</v>
      </c>
      <c r="AJ377">
        <v>0</v>
      </c>
      <c r="AK377">
        <v>2</v>
      </c>
      <c r="AL377" t="s">
        <v>2177</v>
      </c>
      <c r="AM377" t="s">
        <v>244</v>
      </c>
      <c r="AN377" t="s">
        <v>2186</v>
      </c>
      <c r="AO377" t="s">
        <v>74</v>
      </c>
      <c r="AP377" t="s">
        <v>74</v>
      </c>
      <c r="AQ377" t="s">
        <v>4645</v>
      </c>
      <c r="AR377" t="s">
        <v>4646</v>
      </c>
      <c r="AS377" t="s">
        <v>74</v>
      </c>
      <c r="AT377" t="s">
        <v>74</v>
      </c>
      <c r="AU377">
        <v>1998</v>
      </c>
      <c r="AV377" t="s">
        <v>74</v>
      </c>
      <c r="AW377" t="s">
        <v>74</v>
      </c>
      <c r="AX377" t="s">
        <v>74</v>
      </c>
      <c r="AY377" t="s">
        <v>74</v>
      </c>
      <c r="AZ377" t="s">
        <v>74</v>
      </c>
      <c r="BA377" t="s">
        <v>74</v>
      </c>
      <c r="BB377">
        <v>1602</v>
      </c>
      <c r="BC377">
        <v>1604</v>
      </c>
      <c r="BD377" t="s">
        <v>74</v>
      </c>
      <c r="BE377" t="s">
        <v>4690</v>
      </c>
      <c r="BF377" t="str">
        <f>HYPERLINK("http://dx.doi.org/10.1109/IGARSS.1998.691636","http://dx.doi.org/10.1109/IGARSS.1998.691636")</f>
        <v>http://dx.doi.org/10.1109/IGARSS.1998.691636</v>
      </c>
      <c r="BG377" t="s">
        <v>74</v>
      </c>
      <c r="BH377" t="s">
        <v>74</v>
      </c>
      <c r="BI377">
        <v>3</v>
      </c>
      <c r="BJ377" t="s">
        <v>4648</v>
      </c>
      <c r="BK377" t="s">
        <v>2189</v>
      </c>
      <c r="BL377" t="s">
        <v>4649</v>
      </c>
      <c r="BM377" t="s">
        <v>4650</v>
      </c>
      <c r="BN377" t="s">
        <v>74</v>
      </c>
      <c r="BO377" t="s">
        <v>74</v>
      </c>
      <c r="BP377" t="s">
        <v>74</v>
      </c>
      <c r="BQ377" t="s">
        <v>74</v>
      </c>
      <c r="BR377" t="s">
        <v>101</v>
      </c>
      <c r="BS377" t="s">
        <v>4691</v>
      </c>
      <c r="BT377" t="str">
        <f>HYPERLINK("https%3A%2F%2Fwww.webofscience.com%2Fwos%2Fwoscc%2Ffull-record%2FWOS:000075217100517","View Full Record in Web of Science")</f>
        <v>View Full Record in Web of Science</v>
      </c>
    </row>
    <row r="378" spans="1:72" x14ac:dyDescent="0.15">
      <c r="A378" t="s">
        <v>2175</v>
      </c>
      <c r="B378" t="s">
        <v>4692</v>
      </c>
      <c r="C378" t="s">
        <v>74</v>
      </c>
      <c r="D378" t="s">
        <v>4635</v>
      </c>
      <c r="E378" t="s">
        <v>74</v>
      </c>
      <c r="F378" t="s">
        <v>4692</v>
      </c>
      <c r="G378" t="s">
        <v>74</v>
      </c>
      <c r="H378" t="s">
        <v>74</v>
      </c>
      <c r="I378" t="s">
        <v>4693</v>
      </c>
      <c r="J378" t="s">
        <v>4637</v>
      </c>
      <c r="K378" t="s">
        <v>4638</v>
      </c>
      <c r="L378" t="s">
        <v>74</v>
      </c>
      <c r="M378" t="s">
        <v>77</v>
      </c>
      <c r="N378" t="s">
        <v>2180</v>
      </c>
      <c r="O378" t="s">
        <v>4639</v>
      </c>
      <c r="P378" t="s">
        <v>4640</v>
      </c>
      <c r="Q378" t="s">
        <v>4641</v>
      </c>
      <c r="R378" t="s">
        <v>74</v>
      </c>
      <c r="S378" t="s">
        <v>74</v>
      </c>
      <c r="T378" t="s">
        <v>74</v>
      </c>
      <c r="U378" t="s">
        <v>74</v>
      </c>
      <c r="V378" t="s">
        <v>4694</v>
      </c>
      <c r="W378" t="s">
        <v>4695</v>
      </c>
      <c r="X378" t="s">
        <v>4696</v>
      </c>
      <c r="Y378" t="s">
        <v>4697</v>
      </c>
      <c r="Z378" t="s">
        <v>74</v>
      </c>
      <c r="AA378" t="s">
        <v>74</v>
      </c>
      <c r="AB378" t="s">
        <v>74</v>
      </c>
      <c r="AC378" t="s">
        <v>74</v>
      </c>
      <c r="AD378" t="s">
        <v>74</v>
      </c>
      <c r="AE378" t="s">
        <v>74</v>
      </c>
      <c r="AF378" t="s">
        <v>74</v>
      </c>
      <c r="AG378">
        <v>0</v>
      </c>
      <c r="AH378">
        <v>50</v>
      </c>
      <c r="AI378">
        <v>55</v>
      </c>
      <c r="AJ378">
        <v>2</v>
      </c>
      <c r="AK378">
        <v>15</v>
      </c>
      <c r="AL378" t="s">
        <v>2177</v>
      </c>
      <c r="AM378" t="s">
        <v>244</v>
      </c>
      <c r="AN378" t="s">
        <v>2186</v>
      </c>
      <c r="AO378" t="s">
        <v>74</v>
      </c>
      <c r="AP378" t="s">
        <v>74</v>
      </c>
      <c r="AQ378" t="s">
        <v>4645</v>
      </c>
      <c r="AR378" t="s">
        <v>4646</v>
      </c>
      <c r="AS378" t="s">
        <v>74</v>
      </c>
      <c r="AT378" t="s">
        <v>74</v>
      </c>
      <c r="AU378">
        <v>1998</v>
      </c>
      <c r="AV378" t="s">
        <v>74</v>
      </c>
      <c r="AW378" t="s">
        <v>74</v>
      </c>
      <c r="AX378" t="s">
        <v>74</v>
      </c>
      <c r="AY378" t="s">
        <v>74</v>
      </c>
      <c r="AZ378" t="s">
        <v>74</v>
      </c>
      <c r="BA378" t="s">
        <v>74</v>
      </c>
      <c r="BB378">
        <v>1638</v>
      </c>
      <c r="BC378">
        <v>1640</v>
      </c>
      <c r="BD378" t="s">
        <v>74</v>
      </c>
      <c r="BE378" t="s">
        <v>4698</v>
      </c>
      <c r="BF378" t="str">
        <f>HYPERLINK("http://dx.doi.org/10.1109/IGARSS.1998.691662","http://dx.doi.org/10.1109/IGARSS.1998.691662")</f>
        <v>http://dx.doi.org/10.1109/IGARSS.1998.691662</v>
      </c>
      <c r="BG378" t="s">
        <v>74</v>
      </c>
      <c r="BH378" t="s">
        <v>74</v>
      </c>
      <c r="BI378">
        <v>3</v>
      </c>
      <c r="BJ378" t="s">
        <v>4648</v>
      </c>
      <c r="BK378" t="s">
        <v>2189</v>
      </c>
      <c r="BL378" t="s">
        <v>4649</v>
      </c>
      <c r="BM378" t="s">
        <v>4650</v>
      </c>
      <c r="BN378" t="s">
        <v>74</v>
      </c>
      <c r="BO378" t="s">
        <v>74</v>
      </c>
      <c r="BP378" t="s">
        <v>74</v>
      </c>
      <c r="BQ378" t="s">
        <v>74</v>
      </c>
      <c r="BR378" t="s">
        <v>101</v>
      </c>
      <c r="BS378" t="s">
        <v>4699</v>
      </c>
      <c r="BT378" t="str">
        <f>HYPERLINK("https%3A%2F%2Fwww.webofscience.com%2Fwos%2Fwoscc%2Ffull-record%2FWOS:000075217100529","View Full Record in Web of Science")</f>
        <v>View Full Record in Web of Science</v>
      </c>
    </row>
    <row r="379" spans="1:72" x14ac:dyDescent="0.15">
      <c r="A379" t="s">
        <v>2175</v>
      </c>
      <c r="B379" t="s">
        <v>4700</v>
      </c>
      <c r="C379" t="s">
        <v>74</v>
      </c>
      <c r="D379" t="s">
        <v>4635</v>
      </c>
      <c r="E379" t="s">
        <v>74</v>
      </c>
      <c r="F379" t="s">
        <v>4700</v>
      </c>
      <c r="G379" t="s">
        <v>74</v>
      </c>
      <c r="H379" t="s">
        <v>74</v>
      </c>
      <c r="I379" t="s">
        <v>4701</v>
      </c>
      <c r="J379" t="s">
        <v>4637</v>
      </c>
      <c r="K379" t="s">
        <v>4638</v>
      </c>
      <c r="L379" t="s">
        <v>74</v>
      </c>
      <c r="M379" t="s">
        <v>77</v>
      </c>
      <c r="N379" t="s">
        <v>2180</v>
      </c>
      <c r="O379" t="s">
        <v>4639</v>
      </c>
      <c r="P379" t="s">
        <v>4640</v>
      </c>
      <c r="Q379" t="s">
        <v>4641</v>
      </c>
      <c r="R379" t="s">
        <v>74</v>
      </c>
      <c r="S379" t="s">
        <v>74</v>
      </c>
      <c r="T379" t="s">
        <v>74</v>
      </c>
      <c r="U379" t="s">
        <v>74</v>
      </c>
      <c r="V379" t="s">
        <v>4702</v>
      </c>
      <c r="W379" t="s">
        <v>4703</v>
      </c>
      <c r="X379" t="s">
        <v>1647</v>
      </c>
      <c r="Y379" t="s">
        <v>4704</v>
      </c>
      <c r="Z379" t="s">
        <v>74</v>
      </c>
      <c r="AA379" t="s">
        <v>74</v>
      </c>
      <c r="AB379" t="s">
        <v>74</v>
      </c>
      <c r="AC379" t="s">
        <v>74</v>
      </c>
      <c r="AD379" t="s">
        <v>74</v>
      </c>
      <c r="AE379" t="s">
        <v>74</v>
      </c>
      <c r="AF379" t="s">
        <v>74</v>
      </c>
      <c r="AG379">
        <v>0</v>
      </c>
      <c r="AH379">
        <v>1</v>
      </c>
      <c r="AI379">
        <v>1</v>
      </c>
      <c r="AJ379">
        <v>0</v>
      </c>
      <c r="AK379">
        <v>5</v>
      </c>
      <c r="AL379" t="s">
        <v>2177</v>
      </c>
      <c r="AM379" t="s">
        <v>244</v>
      </c>
      <c r="AN379" t="s">
        <v>2186</v>
      </c>
      <c r="AO379" t="s">
        <v>74</v>
      </c>
      <c r="AP379" t="s">
        <v>74</v>
      </c>
      <c r="AQ379" t="s">
        <v>4645</v>
      </c>
      <c r="AR379" t="s">
        <v>4646</v>
      </c>
      <c r="AS379" t="s">
        <v>74</v>
      </c>
      <c r="AT379" t="s">
        <v>74</v>
      </c>
      <c r="AU379">
        <v>1998</v>
      </c>
      <c r="AV379" t="s">
        <v>74</v>
      </c>
      <c r="AW379" t="s">
        <v>74</v>
      </c>
      <c r="AX379" t="s">
        <v>74</v>
      </c>
      <c r="AY379" t="s">
        <v>74</v>
      </c>
      <c r="AZ379" t="s">
        <v>74</v>
      </c>
      <c r="BA379" t="s">
        <v>74</v>
      </c>
      <c r="BB379">
        <v>1873</v>
      </c>
      <c r="BC379">
        <v>1875</v>
      </c>
      <c r="BD379" t="s">
        <v>74</v>
      </c>
      <c r="BE379" t="s">
        <v>4705</v>
      </c>
      <c r="BF379" t="str">
        <f>HYPERLINK("http://dx.doi.org/10.1109/IGARSS.1998.703680","http://dx.doi.org/10.1109/IGARSS.1998.703680")</f>
        <v>http://dx.doi.org/10.1109/IGARSS.1998.703680</v>
      </c>
      <c r="BG379" t="s">
        <v>74</v>
      </c>
      <c r="BH379" t="s">
        <v>74</v>
      </c>
      <c r="BI379">
        <v>3</v>
      </c>
      <c r="BJ379" t="s">
        <v>4648</v>
      </c>
      <c r="BK379" t="s">
        <v>2189</v>
      </c>
      <c r="BL379" t="s">
        <v>4649</v>
      </c>
      <c r="BM379" t="s">
        <v>4650</v>
      </c>
      <c r="BN379" t="s">
        <v>74</v>
      </c>
      <c r="BO379" t="s">
        <v>74</v>
      </c>
      <c r="BP379" t="s">
        <v>74</v>
      </c>
      <c r="BQ379" t="s">
        <v>74</v>
      </c>
      <c r="BR379" t="s">
        <v>101</v>
      </c>
      <c r="BS379" t="s">
        <v>4706</v>
      </c>
      <c r="BT379" t="str">
        <f>HYPERLINK("https%3A%2F%2Fwww.webofscience.com%2Fwos%2Fwoscc%2Ffull-record%2FWOS:000075217100606","View Full Record in Web of Science")</f>
        <v>View Full Record in Web of Science</v>
      </c>
    </row>
    <row r="380" spans="1:72" x14ac:dyDescent="0.15">
      <c r="A380" t="s">
        <v>2175</v>
      </c>
      <c r="B380" t="s">
        <v>4707</v>
      </c>
      <c r="C380" t="s">
        <v>74</v>
      </c>
      <c r="D380" t="s">
        <v>4635</v>
      </c>
      <c r="E380" t="s">
        <v>74</v>
      </c>
      <c r="F380" t="s">
        <v>4707</v>
      </c>
      <c r="G380" t="s">
        <v>74</v>
      </c>
      <c r="H380" t="s">
        <v>74</v>
      </c>
      <c r="I380" t="s">
        <v>4708</v>
      </c>
      <c r="J380" t="s">
        <v>4637</v>
      </c>
      <c r="K380" t="s">
        <v>4638</v>
      </c>
      <c r="L380" t="s">
        <v>74</v>
      </c>
      <c r="M380" t="s">
        <v>77</v>
      </c>
      <c r="N380" t="s">
        <v>2180</v>
      </c>
      <c r="O380" t="s">
        <v>4639</v>
      </c>
      <c r="P380" t="s">
        <v>4640</v>
      </c>
      <c r="Q380" t="s">
        <v>4641</v>
      </c>
      <c r="R380" t="s">
        <v>74</v>
      </c>
      <c r="S380" t="s">
        <v>74</v>
      </c>
      <c r="T380" t="s">
        <v>74</v>
      </c>
      <c r="U380" t="s">
        <v>74</v>
      </c>
      <c r="V380" t="s">
        <v>4709</v>
      </c>
      <c r="W380" t="s">
        <v>3042</v>
      </c>
      <c r="X380" t="s">
        <v>74</v>
      </c>
      <c r="Y380" t="s">
        <v>4710</v>
      </c>
      <c r="Z380" t="s">
        <v>74</v>
      </c>
      <c r="AA380" t="s">
        <v>74</v>
      </c>
      <c r="AB380" t="s">
        <v>1064</v>
      </c>
      <c r="AC380" t="s">
        <v>74</v>
      </c>
      <c r="AD380" t="s">
        <v>74</v>
      </c>
      <c r="AE380" t="s">
        <v>74</v>
      </c>
      <c r="AF380" t="s">
        <v>74</v>
      </c>
      <c r="AG380">
        <v>0</v>
      </c>
      <c r="AH380">
        <v>3</v>
      </c>
      <c r="AI380">
        <v>5</v>
      </c>
      <c r="AJ380">
        <v>0</v>
      </c>
      <c r="AK380">
        <v>1</v>
      </c>
      <c r="AL380" t="s">
        <v>2177</v>
      </c>
      <c r="AM380" t="s">
        <v>244</v>
      </c>
      <c r="AN380" t="s">
        <v>2186</v>
      </c>
      <c r="AO380" t="s">
        <v>74</v>
      </c>
      <c r="AP380" t="s">
        <v>74</v>
      </c>
      <c r="AQ380" t="s">
        <v>4645</v>
      </c>
      <c r="AR380" t="s">
        <v>4646</v>
      </c>
      <c r="AS380" t="s">
        <v>74</v>
      </c>
      <c r="AT380" t="s">
        <v>74</v>
      </c>
      <c r="AU380">
        <v>1998</v>
      </c>
      <c r="AV380" t="s">
        <v>74</v>
      </c>
      <c r="AW380" t="s">
        <v>74</v>
      </c>
      <c r="AX380" t="s">
        <v>74</v>
      </c>
      <c r="AY380" t="s">
        <v>74</v>
      </c>
      <c r="AZ380" t="s">
        <v>74</v>
      </c>
      <c r="BA380" t="s">
        <v>74</v>
      </c>
      <c r="BB380">
        <v>1988</v>
      </c>
      <c r="BC380">
        <v>1990</v>
      </c>
      <c r="BD380" t="s">
        <v>74</v>
      </c>
      <c r="BE380" t="s">
        <v>4711</v>
      </c>
      <c r="BF380" t="str">
        <f>HYPERLINK("http://dx.doi.org/10.1109/IGARSS.1998.703717","http://dx.doi.org/10.1109/IGARSS.1998.703717")</f>
        <v>http://dx.doi.org/10.1109/IGARSS.1998.703717</v>
      </c>
      <c r="BG380" t="s">
        <v>74</v>
      </c>
      <c r="BH380" t="s">
        <v>74</v>
      </c>
      <c r="BI380">
        <v>3</v>
      </c>
      <c r="BJ380" t="s">
        <v>4648</v>
      </c>
      <c r="BK380" t="s">
        <v>2189</v>
      </c>
      <c r="BL380" t="s">
        <v>4649</v>
      </c>
      <c r="BM380" t="s">
        <v>4650</v>
      </c>
      <c r="BN380" t="s">
        <v>74</v>
      </c>
      <c r="BO380" t="s">
        <v>74</v>
      </c>
      <c r="BP380" t="s">
        <v>74</v>
      </c>
      <c r="BQ380" t="s">
        <v>74</v>
      </c>
      <c r="BR380" t="s">
        <v>101</v>
      </c>
      <c r="BS380" t="s">
        <v>4712</v>
      </c>
      <c r="BT380" t="str">
        <f>HYPERLINK("https%3A%2F%2Fwww.webofscience.com%2Fwos%2Fwoscc%2Ffull-record%2FWOS:000075217100642","View Full Record in Web of Science")</f>
        <v>View Full Record in Web of Science</v>
      </c>
    </row>
    <row r="381" spans="1:72" x14ac:dyDescent="0.15">
      <c r="A381" t="s">
        <v>2175</v>
      </c>
      <c r="B381" t="s">
        <v>4713</v>
      </c>
      <c r="C381" t="s">
        <v>74</v>
      </c>
      <c r="D381" t="s">
        <v>4635</v>
      </c>
      <c r="E381" t="s">
        <v>74</v>
      </c>
      <c r="F381" t="s">
        <v>4713</v>
      </c>
      <c r="G381" t="s">
        <v>74</v>
      </c>
      <c r="H381" t="s">
        <v>74</v>
      </c>
      <c r="I381" t="s">
        <v>4714</v>
      </c>
      <c r="J381" t="s">
        <v>4637</v>
      </c>
      <c r="K381" t="s">
        <v>4638</v>
      </c>
      <c r="L381" t="s">
        <v>74</v>
      </c>
      <c r="M381" t="s">
        <v>77</v>
      </c>
      <c r="N381" t="s">
        <v>2180</v>
      </c>
      <c r="O381" t="s">
        <v>4639</v>
      </c>
      <c r="P381" t="s">
        <v>4640</v>
      </c>
      <c r="Q381" t="s">
        <v>4641</v>
      </c>
      <c r="R381" t="s">
        <v>74</v>
      </c>
      <c r="S381" t="s">
        <v>74</v>
      </c>
      <c r="T381" t="s">
        <v>74</v>
      </c>
      <c r="U381" t="s">
        <v>74</v>
      </c>
      <c r="V381" t="s">
        <v>4715</v>
      </c>
      <c r="W381" t="s">
        <v>2851</v>
      </c>
      <c r="X381" t="s">
        <v>4716</v>
      </c>
      <c r="Y381" t="s">
        <v>4717</v>
      </c>
      <c r="Z381" t="s">
        <v>74</v>
      </c>
      <c r="AA381" t="s">
        <v>4718</v>
      </c>
      <c r="AB381" t="s">
        <v>4719</v>
      </c>
      <c r="AC381" t="s">
        <v>74</v>
      </c>
      <c r="AD381" t="s">
        <v>74</v>
      </c>
      <c r="AE381" t="s">
        <v>74</v>
      </c>
      <c r="AF381" t="s">
        <v>74</v>
      </c>
      <c r="AG381">
        <v>0</v>
      </c>
      <c r="AH381">
        <v>0</v>
      </c>
      <c r="AI381">
        <v>0</v>
      </c>
      <c r="AJ381">
        <v>0</v>
      </c>
      <c r="AK381">
        <v>2</v>
      </c>
      <c r="AL381" t="s">
        <v>2177</v>
      </c>
      <c r="AM381" t="s">
        <v>244</v>
      </c>
      <c r="AN381" t="s">
        <v>2186</v>
      </c>
      <c r="AO381" t="s">
        <v>74</v>
      </c>
      <c r="AP381" t="s">
        <v>74</v>
      </c>
      <c r="AQ381" t="s">
        <v>4645</v>
      </c>
      <c r="AR381" t="s">
        <v>4646</v>
      </c>
      <c r="AS381" t="s">
        <v>74</v>
      </c>
      <c r="AT381" t="s">
        <v>74</v>
      </c>
      <c r="AU381">
        <v>1998</v>
      </c>
      <c r="AV381" t="s">
        <v>74</v>
      </c>
      <c r="AW381" t="s">
        <v>74</v>
      </c>
      <c r="AX381" t="s">
        <v>74</v>
      </c>
      <c r="AY381" t="s">
        <v>74</v>
      </c>
      <c r="AZ381" t="s">
        <v>74</v>
      </c>
      <c r="BA381" t="s">
        <v>74</v>
      </c>
      <c r="BB381">
        <v>2219</v>
      </c>
      <c r="BC381">
        <v>2221</v>
      </c>
      <c r="BD381" t="s">
        <v>74</v>
      </c>
      <c r="BE381" t="s">
        <v>4720</v>
      </c>
      <c r="BF381" t="str">
        <f>HYPERLINK("http://dx.doi.org/10.1109/IGARSS.1998.703792","http://dx.doi.org/10.1109/IGARSS.1998.703792")</f>
        <v>http://dx.doi.org/10.1109/IGARSS.1998.703792</v>
      </c>
      <c r="BG381" t="s">
        <v>74</v>
      </c>
      <c r="BH381" t="s">
        <v>74</v>
      </c>
      <c r="BI381">
        <v>3</v>
      </c>
      <c r="BJ381" t="s">
        <v>4648</v>
      </c>
      <c r="BK381" t="s">
        <v>2189</v>
      </c>
      <c r="BL381" t="s">
        <v>4649</v>
      </c>
      <c r="BM381" t="s">
        <v>4650</v>
      </c>
      <c r="BN381" t="s">
        <v>74</v>
      </c>
      <c r="BO381" t="s">
        <v>74</v>
      </c>
      <c r="BP381" t="s">
        <v>74</v>
      </c>
      <c r="BQ381" t="s">
        <v>74</v>
      </c>
      <c r="BR381" t="s">
        <v>101</v>
      </c>
      <c r="BS381" t="s">
        <v>4721</v>
      </c>
      <c r="BT381" t="str">
        <f>HYPERLINK("https%3A%2F%2Fwww.webofscience.com%2Fwos%2Fwoscc%2Ffull-record%2FWOS:000075217100717","View Full Record in Web of Science")</f>
        <v>View Full Record in Web of Science</v>
      </c>
    </row>
    <row r="382" spans="1:72" x14ac:dyDescent="0.15">
      <c r="A382" t="s">
        <v>2175</v>
      </c>
      <c r="B382" t="s">
        <v>4722</v>
      </c>
      <c r="C382" t="s">
        <v>74</v>
      </c>
      <c r="D382" t="s">
        <v>4635</v>
      </c>
      <c r="E382" t="s">
        <v>74</v>
      </c>
      <c r="F382" t="s">
        <v>4722</v>
      </c>
      <c r="G382" t="s">
        <v>74</v>
      </c>
      <c r="H382" t="s">
        <v>74</v>
      </c>
      <c r="I382" t="s">
        <v>4723</v>
      </c>
      <c r="J382" t="s">
        <v>4637</v>
      </c>
      <c r="K382" t="s">
        <v>4638</v>
      </c>
      <c r="L382" t="s">
        <v>74</v>
      </c>
      <c r="M382" t="s">
        <v>77</v>
      </c>
      <c r="N382" t="s">
        <v>2180</v>
      </c>
      <c r="O382" t="s">
        <v>4639</v>
      </c>
      <c r="P382" t="s">
        <v>4640</v>
      </c>
      <c r="Q382" t="s">
        <v>4641</v>
      </c>
      <c r="R382" t="s">
        <v>74</v>
      </c>
      <c r="S382" t="s">
        <v>74</v>
      </c>
      <c r="T382" t="s">
        <v>74</v>
      </c>
      <c r="U382" t="s">
        <v>74</v>
      </c>
      <c r="V382" t="s">
        <v>74</v>
      </c>
      <c r="W382" t="s">
        <v>4679</v>
      </c>
      <c r="X382" t="s">
        <v>4680</v>
      </c>
      <c r="Y382" t="s">
        <v>4724</v>
      </c>
      <c r="Z382" t="s">
        <v>74</v>
      </c>
      <c r="AA382" t="s">
        <v>74</v>
      </c>
      <c r="AB382" t="s">
        <v>74</v>
      </c>
      <c r="AC382" t="s">
        <v>74</v>
      </c>
      <c r="AD382" t="s">
        <v>74</v>
      </c>
      <c r="AE382" t="s">
        <v>74</v>
      </c>
      <c r="AF382" t="s">
        <v>74</v>
      </c>
      <c r="AG382">
        <v>0</v>
      </c>
      <c r="AH382">
        <v>3</v>
      </c>
      <c r="AI382">
        <v>5</v>
      </c>
      <c r="AJ382">
        <v>0</v>
      </c>
      <c r="AK382">
        <v>3</v>
      </c>
      <c r="AL382" t="s">
        <v>2177</v>
      </c>
      <c r="AM382" t="s">
        <v>244</v>
      </c>
      <c r="AN382" t="s">
        <v>2186</v>
      </c>
      <c r="AO382" t="s">
        <v>74</v>
      </c>
      <c r="AP382" t="s">
        <v>74</v>
      </c>
      <c r="AQ382" t="s">
        <v>4645</v>
      </c>
      <c r="AR382" t="s">
        <v>4646</v>
      </c>
      <c r="AS382" t="s">
        <v>74</v>
      </c>
      <c r="AT382" t="s">
        <v>74</v>
      </c>
      <c r="AU382">
        <v>1998</v>
      </c>
      <c r="AV382" t="s">
        <v>74</v>
      </c>
      <c r="AW382" t="s">
        <v>74</v>
      </c>
      <c r="AX382" t="s">
        <v>74</v>
      </c>
      <c r="AY382" t="s">
        <v>74</v>
      </c>
      <c r="AZ382" t="s">
        <v>74</v>
      </c>
      <c r="BA382" t="s">
        <v>74</v>
      </c>
      <c r="BB382">
        <v>2225</v>
      </c>
      <c r="BC382">
        <v>2227</v>
      </c>
      <c r="BD382" t="s">
        <v>74</v>
      </c>
      <c r="BE382" t="s">
        <v>4725</v>
      </c>
      <c r="BF382" t="str">
        <f>HYPERLINK("http://dx.doi.org/10.1109/IGARSS.1998.703794","http://dx.doi.org/10.1109/IGARSS.1998.703794")</f>
        <v>http://dx.doi.org/10.1109/IGARSS.1998.703794</v>
      </c>
      <c r="BG382" t="s">
        <v>74</v>
      </c>
      <c r="BH382" t="s">
        <v>74</v>
      </c>
      <c r="BI382">
        <v>3</v>
      </c>
      <c r="BJ382" t="s">
        <v>4648</v>
      </c>
      <c r="BK382" t="s">
        <v>2189</v>
      </c>
      <c r="BL382" t="s">
        <v>4649</v>
      </c>
      <c r="BM382" t="s">
        <v>4650</v>
      </c>
      <c r="BN382" t="s">
        <v>74</v>
      </c>
      <c r="BO382" t="s">
        <v>74</v>
      </c>
      <c r="BP382" t="s">
        <v>74</v>
      </c>
      <c r="BQ382" t="s">
        <v>74</v>
      </c>
      <c r="BR382" t="s">
        <v>101</v>
      </c>
      <c r="BS382" t="s">
        <v>4726</v>
      </c>
      <c r="BT382" t="str">
        <f>HYPERLINK("https%3A%2F%2Fwww.webofscience.com%2Fwos%2Fwoscc%2Ffull-record%2FWOS:000075217100719","View Full Record in Web of Science")</f>
        <v>View Full Record in Web of Science</v>
      </c>
    </row>
    <row r="383" spans="1:72" x14ac:dyDescent="0.15">
      <c r="A383" t="s">
        <v>2175</v>
      </c>
      <c r="B383" t="s">
        <v>4727</v>
      </c>
      <c r="C383" t="s">
        <v>74</v>
      </c>
      <c r="D383" t="s">
        <v>4635</v>
      </c>
      <c r="E383" t="s">
        <v>74</v>
      </c>
      <c r="F383" t="s">
        <v>4727</v>
      </c>
      <c r="G383" t="s">
        <v>74</v>
      </c>
      <c r="H383" t="s">
        <v>74</v>
      </c>
      <c r="I383" t="s">
        <v>4728</v>
      </c>
      <c r="J383" t="s">
        <v>4637</v>
      </c>
      <c r="K383" t="s">
        <v>4638</v>
      </c>
      <c r="L383" t="s">
        <v>74</v>
      </c>
      <c r="M383" t="s">
        <v>77</v>
      </c>
      <c r="N383" t="s">
        <v>2180</v>
      </c>
      <c r="O383" t="s">
        <v>4639</v>
      </c>
      <c r="P383" t="s">
        <v>4640</v>
      </c>
      <c r="Q383" t="s">
        <v>4641</v>
      </c>
      <c r="R383" t="s">
        <v>74</v>
      </c>
      <c r="S383" t="s">
        <v>74</v>
      </c>
      <c r="T383" t="s">
        <v>74</v>
      </c>
      <c r="U383" t="s">
        <v>74</v>
      </c>
      <c r="V383" t="s">
        <v>4729</v>
      </c>
      <c r="W383" t="s">
        <v>2851</v>
      </c>
      <c r="X383" t="s">
        <v>2852</v>
      </c>
      <c r="Y383" t="s">
        <v>4730</v>
      </c>
      <c r="Z383" t="s">
        <v>74</v>
      </c>
      <c r="AA383" t="s">
        <v>4718</v>
      </c>
      <c r="AB383" t="s">
        <v>4731</v>
      </c>
      <c r="AC383" t="s">
        <v>74</v>
      </c>
      <c r="AD383" t="s">
        <v>74</v>
      </c>
      <c r="AE383" t="s">
        <v>74</v>
      </c>
      <c r="AF383" t="s">
        <v>74</v>
      </c>
      <c r="AG383">
        <v>0</v>
      </c>
      <c r="AH383">
        <v>0</v>
      </c>
      <c r="AI383">
        <v>0</v>
      </c>
      <c r="AJ383">
        <v>0</v>
      </c>
      <c r="AK383">
        <v>0</v>
      </c>
      <c r="AL383" t="s">
        <v>2177</v>
      </c>
      <c r="AM383" t="s">
        <v>244</v>
      </c>
      <c r="AN383" t="s">
        <v>2186</v>
      </c>
      <c r="AO383" t="s">
        <v>74</v>
      </c>
      <c r="AP383" t="s">
        <v>74</v>
      </c>
      <c r="AQ383" t="s">
        <v>4645</v>
      </c>
      <c r="AR383" t="s">
        <v>4646</v>
      </c>
      <c r="AS383" t="s">
        <v>74</v>
      </c>
      <c r="AT383" t="s">
        <v>74</v>
      </c>
      <c r="AU383">
        <v>1998</v>
      </c>
      <c r="AV383" t="s">
        <v>74</v>
      </c>
      <c r="AW383" t="s">
        <v>74</v>
      </c>
      <c r="AX383" t="s">
        <v>74</v>
      </c>
      <c r="AY383" t="s">
        <v>74</v>
      </c>
      <c r="AZ383" t="s">
        <v>74</v>
      </c>
      <c r="BA383" t="s">
        <v>74</v>
      </c>
      <c r="BB383">
        <v>2228</v>
      </c>
      <c r="BC383">
        <v>2230</v>
      </c>
      <c r="BD383" t="s">
        <v>74</v>
      </c>
      <c r="BE383" t="s">
        <v>4732</v>
      </c>
      <c r="BF383" t="str">
        <f>HYPERLINK("http://dx.doi.org/10.1109/IGARSS.1998.703795","http://dx.doi.org/10.1109/IGARSS.1998.703795")</f>
        <v>http://dx.doi.org/10.1109/IGARSS.1998.703795</v>
      </c>
      <c r="BG383" t="s">
        <v>74</v>
      </c>
      <c r="BH383" t="s">
        <v>74</v>
      </c>
      <c r="BI383">
        <v>3</v>
      </c>
      <c r="BJ383" t="s">
        <v>4648</v>
      </c>
      <c r="BK383" t="s">
        <v>2189</v>
      </c>
      <c r="BL383" t="s">
        <v>4649</v>
      </c>
      <c r="BM383" t="s">
        <v>4650</v>
      </c>
      <c r="BN383" t="s">
        <v>74</v>
      </c>
      <c r="BO383" t="s">
        <v>74</v>
      </c>
      <c r="BP383" t="s">
        <v>74</v>
      </c>
      <c r="BQ383" t="s">
        <v>74</v>
      </c>
      <c r="BR383" t="s">
        <v>101</v>
      </c>
      <c r="BS383" t="s">
        <v>4733</v>
      </c>
      <c r="BT383" t="str">
        <f>HYPERLINK("https%3A%2F%2Fwww.webofscience.com%2Fwos%2Fwoscc%2Ffull-record%2FWOS:000075217100720","View Full Record in Web of Science")</f>
        <v>View Full Record in Web of Science</v>
      </c>
    </row>
    <row r="384" spans="1:72" x14ac:dyDescent="0.15">
      <c r="A384" t="s">
        <v>2175</v>
      </c>
      <c r="B384" t="s">
        <v>4734</v>
      </c>
      <c r="C384" t="s">
        <v>74</v>
      </c>
      <c r="D384" t="s">
        <v>4635</v>
      </c>
      <c r="E384" t="s">
        <v>74</v>
      </c>
      <c r="F384" t="s">
        <v>4734</v>
      </c>
      <c r="G384" t="s">
        <v>74</v>
      </c>
      <c r="H384" t="s">
        <v>74</v>
      </c>
      <c r="I384" t="s">
        <v>4735</v>
      </c>
      <c r="J384" t="s">
        <v>4637</v>
      </c>
      <c r="K384" t="s">
        <v>4638</v>
      </c>
      <c r="L384" t="s">
        <v>74</v>
      </c>
      <c r="M384" t="s">
        <v>77</v>
      </c>
      <c r="N384" t="s">
        <v>2180</v>
      </c>
      <c r="O384" t="s">
        <v>4639</v>
      </c>
      <c r="P384" t="s">
        <v>4640</v>
      </c>
      <c r="Q384" t="s">
        <v>4641</v>
      </c>
      <c r="R384" t="s">
        <v>74</v>
      </c>
      <c r="S384" t="s">
        <v>74</v>
      </c>
      <c r="T384" t="s">
        <v>74</v>
      </c>
      <c r="U384" t="s">
        <v>74</v>
      </c>
      <c r="V384" t="s">
        <v>4736</v>
      </c>
      <c r="W384" t="s">
        <v>4737</v>
      </c>
      <c r="X384" t="s">
        <v>4738</v>
      </c>
      <c r="Y384" t="s">
        <v>4739</v>
      </c>
      <c r="Z384" t="s">
        <v>74</v>
      </c>
      <c r="AA384" t="s">
        <v>4740</v>
      </c>
      <c r="AB384" t="s">
        <v>4741</v>
      </c>
      <c r="AC384" t="s">
        <v>74</v>
      </c>
      <c r="AD384" t="s">
        <v>74</v>
      </c>
      <c r="AE384" t="s">
        <v>74</v>
      </c>
      <c r="AF384" t="s">
        <v>74</v>
      </c>
      <c r="AG384">
        <v>0</v>
      </c>
      <c r="AH384">
        <v>0</v>
      </c>
      <c r="AI384">
        <v>0</v>
      </c>
      <c r="AJ384">
        <v>0</v>
      </c>
      <c r="AK384">
        <v>0</v>
      </c>
      <c r="AL384" t="s">
        <v>2177</v>
      </c>
      <c r="AM384" t="s">
        <v>244</v>
      </c>
      <c r="AN384" t="s">
        <v>2186</v>
      </c>
      <c r="AO384" t="s">
        <v>74</v>
      </c>
      <c r="AP384" t="s">
        <v>74</v>
      </c>
      <c r="AQ384" t="s">
        <v>4645</v>
      </c>
      <c r="AR384" t="s">
        <v>4646</v>
      </c>
      <c r="AS384" t="s">
        <v>74</v>
      </c>
      <c r="AT384" t="s">
        <v>74</v>
      </c>
      <c r="AU384">
        <v>1998</v>
      </c>
      <c r="AV384" t="s">
        <v>74</v>
      </c>
      <c r="AW384" t="s">
        <v>74</v>
      </c>
      <c r="AX384" t="s">
        <v>74</v>
      </c>
      <c r="AY384" t="s">
        <v>74</v>
      </c>
      <c r="AZ384" t="s">
        <v>74</v>
      </c>
      <c r="BA384" t="s">
        <v>74</v>
      </c>
      <c r="BB384">
        <v>2237</v>
      </c>
      <c r="BC384">
        <v>2239</v>
      </c>
      <c r="BD384" t="s">
        <v>74</v>
      </c>
      <c r="BE384" t="s">
        <v>4742</v>
      </c>
      <c r="BF384" t="str">
        <f>HYPERLINK("http://dx.doi.org/10.1109/IGARSS.1998.703798","http://dx.doi.org/10.1109/IGARSS.1998.703798")</f>
        <v>http://dx.doi.org/10.1109/IGARSS.1998.703798</v>
      </c>
      <c r="BG384" t="s">
        <v>74</v>
      </c>
      <c r="BH384" t="s">
        <v>74</v>
      </c>
      <c r="BI384">
        <v>3</v>
      </c>
      <c r="BJ384" t="s">
        <v>4648</v>
      </c>
      <c r="BK384" t="s">
        <v>2189</v>
      </c>
      <c r="BL384" t="s">
        <v>4649</v>
      </c>
      <c r="BM384" t="s">
        <v>4650</v>
      </c>
      <c r="BN384" t="s">
        <v>74</v>
      </c>
      <c r="BO384" t="s">
        <v>74</v>
      </c>
      <c r="BP384" t="s">
        <v>74</v>
      </c>
      <c r="BQ384" t="s">
        <v>74</v>
      </c>
      <c r="BR384" t="s">
        <v>101</v>
      </c>
      <c r="BS384" t="s">
        <v>4743</v>
      </c>
      <c r="BT384" t="str">
        <f>HYPERLINK("https%3A%2F%2Fwww.webofscience.com%2Fwos%2Fwoscc%2Ffull-record%2FWOS:000075217100723","View Full Record in Web of Science")</f>
        <v>View Full Record in Web of Science</v>
      </c>
    </row>
    <row r="385" spans="1:72" x14ac:dyDescent="0.15">
      <c r="A385" t="s">
        <v>2175</v>
      </c>
      <c r="B385" t="s">
        <v>4744</v>
      </c>
      <c r="C385" t="s">
        <v>74</v>
      </c>
      <c r="D385" t="s">
        <v>4635</v>
      </c>
      <c r="E385" t="s">
        <v>74</v>
      </c>
      <c r="F385" t="s">
        <v>4744</v>
      </c>
      <c r="G385" t="s">
        <v>74</v>
      </c>
      <c r="H385" t="s">
        <v>74</v>
      </c>
      <c r="I385" t="s">
        <v>4745</v>
      </c>
      <c r="J385" t="s">
        <v>4637</v>
      </c>
      <c r="K385" t="s">
        <v>4638</v>
      </c>
      <c r="L385" t="s">
        <v>74</v>
      </c>
      <c r="M385" t="s">
        <v>77</v>
      </c>
      <c r="N385" t="s">
        <v>2180</v>
      </c>
      <c r="O385" t="s">
        <v>4639</v>
      </c>
      <c r="P385" t="s">
        <v>4640</v>
      </c>
      <c r="Q385" t="s">
        <v>4641</v>
      </c>
      <c r="R385" t="s">
        <v>74</v>
      </c>
      <c r="S385" t="s">
        <v>74</v>
      </c>
      <c r="T385" t="s">
        <v>74</v>
      </c>
      <c r="U385" t="s">
        <v>74</v>
      </c>
      <c r="V385" t="s">
        <v>74</v>
      </c>
      <c r="W385" t="s">
        <v>4679</v>
      </c>
      <c r="X385" t="s">
        <v>4680</v>
      </c>
      <c r="Y385" t="s">
        <v>4746</v>
      </c>
      <c r="Z385" t="s">
        <v>74</v>
      </c>
      <c r="AA385" t="s">
        <v>74</v>
      </c>
      <c r="AB385" t="s">
        <v>74</v>
      </c>
      <c r="AC385" t="s">
        <v>74</v>
      </c>
      <c r="AD385" t="s">
        <v>74</v>
      </c>
      <c r="AE385" t="s">
        <v>74</v>
      </c>
      <c r="AF385" t="s">
        <v>74</v>
      </c>
      <c r="AG385">
        <v>0</v>
      </c>
      <c r="AH385">
        <v>2</v>
      </c>
      <c r="AI385">
        <v>2</v>
      </c>
      <c r="AJ385">
        <v>0</v>
      </c>
      <c r="AK385">
        <v>0</v>
      </c>
      <c r="AL385" t="s">
        <v>2177</v>
      </c>
      <c r="AM385" t="s">
        <v>244</v>
      </c>
      <c r="AN385" t="s">
        <v>2186</v>
      </c>
      <c r="AO385" t="s">
        <v>74</v>
      </c>
      <c r="AP385" t="s">
        <v>74</v>
      </c>
      <c r="AQ385" t="s">
        <v>4645</v>
      </c>
      <c r="AR385" t="s">
        <v>4646</v>
      </c>
      <c r="AS385" t="s">
        <v>74</v>
      </c>
      <c r="AT385" t="s">
        <v>74</v>
      </c>
      <c r="AU385">
        <v>1998</v>
      </c>
      <c r="AV385" t="s">
        <v>74</v>
      </c>
      <c r="AW385" t="s">
        <v>74</v>
      </c>
      <c r="AX385" t="s">
        <v>74</v>
      </c>
      <c r="AY385" t="s">
        <v>74</v>
      </c>
      <c r="AZ385" t="s">
        <v>74</v>
      </c>
      <c r="BA385" t="s">
        <v>74</v>
      </c>
      <c r="BB385">
        <v>2240</v>
      </c>
      <c r="BC385">
        <v>2242</v>
      </c>
      <c r="BD385" t="s">
        <v>74</v>
      </c>
      <c r="BE385" t="s">
        <v>4747</v>
      </c>
      <c r="BF385" t="str">
        <f>HYPERLINK("http://dx.doi.org/10.1109/IGARSS.1998.703799","http://dx.doi.org/10.1109/IGARSS.1998.703799")</f>
        <v>http://dx.doi.org/10.1109/IGARSS.1998.703799</v>
      </c>
      <c r="BG385" t="s">
        <v>74</v>
      </c>
      <c r="BH385" t="s">
        <v>74</v>
      </c>
      <c r="BI385">
        <v>3</v>
      </c>
      <c r="BJ385" t="s">
        <v>4648</v>
      </c>
      <c r="BK385" t="s">
        <v>2189</v>
      </c>
      <c r="BL385" t="s">
        <v>4649</v>
      </c>
      <c r="BM385" t="s">
        <v>4650</v>
      </c>
      <c r="BN385" t="s">
        <v>74</v>
      </c>
      <c r="BO385" t="s">
        <v>74</v>
      </c>
      <c r="BP385" t="s">
        <v>74</v>
      </c>
      <c r="BQ385" t="s">
        <v>74</v>
      </c>
      <c r="BR385" t="s">
        <v>101</v>
      </c>
      <c r="BS385" t="s">
        <v>4748</v>
      </c>
      <c r="BT385" t="str">
        <f>HYPERLINK("https%3A%2F%2Fwww.webofscience.com%2Fwos%2Fwoscc%2Ffull-record%2FWOS:000075217100724","View Full Record in Web of Science")</f>
        <v>View Full Record in Web of Science</v>
      </c>
    </row>
    <row r="386" spans="1:72" x14ac:dyDescent="0.15">
      <c r="A386" t="s">
        <v>2175</v>
      </c>
      <c r="B386" t="s">
        <v>4749</v>
      </c>
      <c r="C386" t="s">
        <v>74</v>
      </c>
      <c r="D386" t="s">
        <v>4635</v>
      </c>
      <c r="E386" t="s">
        <v>74</v>
      </c>
      <c r="F386" t="s">
        <v>4749</v>
      </c>
      <c r="G386" t="s">
        <v>74</v>
      </c>
      <c r="H386" t="s">
        <v>74</v>
      </c>
      <c r="I386" t="s">
        <v>4750</v>
      </c>
      <c r="J386" t="s">
        <v>4637</v>
      </c>
      <c r="K386" t="s">
        <v>4751</v>
      </c>
      <c r="L386" t="s">
        <v>74</v>
      </c>
      <c r="M386" t="s">
        <v>77</v>
      </c>
      <c r="N386" t="s">
        <v>2180</v>
      </c>
      <c r="O386" t="s">
        <v>4639</v>
      </c>
      <c r="P386" t="s">
        <v>4640</v>
      </c>
      <c r="Q386" t="s">
        <v>4641</v>
      </c>
      <c r="R386" t="s">
        <v>74</v>
      </c>
      <c r="S386" t="s">
        <v>74</v>
      </c>
      <c r="T386" t="s">
        <v>74</v>
      </c>
      <c r="U386" t="s">
        <v>74</v>
      </c>
      <c r="V386" t="s">
        <v>4752</v>
      </c>
      <c r="W386" t="s">
        <v>4753</v>
      </c>
      <c r="X386" t="s">
        <v>4754</v>
      </c>
      <c r="Y386" t="s">
        <v>4755</v>
      </c>
      <c r="Z386" t="s">
        <v>4756</v>
      </c>
      <c r="AA386" t="s">
        <v>2938</v>
      </c>
      <c r="AB386" t="s">
        <v>2939</v>
      </c>
      <c r="AC386" t="s">
        <v>74</v>
      </c>
      <c r="AD386" t="s">
        <v>74</v>
      </c>
      <c r="AE386" t="s">
        <v>74</v>
      </c>
      <c r="AF386" t="s">
        <v>74</v>
      </c>
      <c r="AG386">
        <v>0</v>
      </c>
      <c r="AH386">
        <v>1</v>
      </c>
      <c r="AI386">
        <v>1</v>
      </c>
      <c r="AJ386">
        <v>0</v>
      </c>
      <c r="AK386">
        <v>1</v>
      </c>
      <c r="AL386" t="s">
        <v>2177</v>
      </c>
      <c r="AM386" t="s">
        <v>244</v>
      </c>
      <c r="AN386" t="s">
        <v>2186</v>
      </c>
      <c r="AO386" t="s">
        <v>74</v>
      </c>
      <c r="AP386" t="s">
        <v>74</v>
      </c>
      <c r="AQ386" t="s">
        <v>4645</v>
      </c>
      <c r="AR386" t="s">
        <v>4646</v>
      </c>
      <c r="AS386" t="s">
        <v>74</v>
      </c>
      <c r="AT386" t="s">
        <v>74</v>
      </c>
      <c r="AU386">
        <v>1998</v>
      </c>
      <c r="AV386" t="s">
        <v>74</v>
      </c>
      <c r="AW386" t="s">
        <v>74</v>
      </c>
      <c r="AX386" t="s">
        <v>74</v>
      </c>
      <c r="AY386" t="s">
        <v>74</v>
      </c>
      <c r="AZ386" t="s">
        <v>74</v>
      </c>
      <c r="BA386" t="s">
        <v>74</v>
      </c>
      <c r="BB386">
        <v>2243</v>
      </c>
      <c r="BC386">
        <v>2245</v>
      </c>
      <c r="BD386" t="s">
        <v>74</v>
      </c>
      <c r="BE386" t="s">
        <v>4757</v>
      </c>
      <c r="BF386" t="str">
        <f>HYPERLINK("http://dx.doi.org/10.1109/IGARSS.1998.703800","http://dx.doi.org/10.1109/IGARSS.1998.703800")</f>
        <v>http://dx.doi.org/10.1109/IGARSS.1998.703800</v>
      </c>
      <c r="BG386" t="s">
        <v>74</v>
      </c>
      <c r="BH386" t="s">
        <v>74</v>
      </c>
      <c r="BI386">
        <v>3</v>
      </c>
      <c r="BJ386" t="s">
        <v>4648</v>
      </c>
      <c r="BK386" t="s">
        <v>2189</v>
      </c>
      <c r="BL386" t="s">
        <v>4649</v>
      </c>
      <c r="BM386" t="s">
        <v>4650</v>
      </c>
      <c r="BN386" t="s">
        <v>74</v>
      </c>
      <c r="BO386" t="s">
        <v>74</v>
      </c>
      <c r="BP386" t="s">
        <v>74</v>
      </c>
      <c r="BQ386" t="s">
        <v>74</v>
      </c>
      <c r="BR386" t="s">
        <v>101</v>
      </c>
      <c r="BS386" t="s">
        <v>4758</v>
      </c>
      <c r="BT386" t="str">
        <f>HYPERLINK("https%3A%2F%2Fwww.webofscience.com%2Fwos%2Fwoscc%2Ffull-record%2FWOS:000075217100725","View Full Record in Web of Science")</f>
        <v>View Full Record in Web of Science</v>
      </c>
    </row>
    <row r="387" spans="1:72" x14ac:dyDescent="0.15">
      <c r="A387" t="s">
        <v>2175</v>
      </c>
      <c r="B387" t="s">
        <v>4759</v>
      </c>
      <c r="C387" t="s">
        <v>74</v>
      </c>
      <c r="D387" t="s">
        <v>4635</v>
      </c>
      <c r="E387" t="s">
        <v>74</v>
      </c>
      <c r="F387" t="s">
        <v>4759</v>
      </c>
      <c r="G387" t="s">
        <v>74</v>
      </c>
      <c r="H387" t="s">
        <v>74</v>
      </c>
      <c r="I387" t="s">
        <v>4760</v>
      </c>
      <c r="J387" t="s">
        <v>4637</v>
      </c>
      <c r="K387" t="s">
        <v>4638</v>
      </c>
      <c r="L387" t="s">
        <v>74</v>
      </c>
      <c r="M387" t="s">
        <v>77</v>
      </c>
      <c r="N387" t="s">
        <v>2180</v>
      </c>
      <c r="O387" t="s">
        <v>4639</v>
      </c>
      <c r="P387" t="s">
        <v>4640</v>
      </c>
      <c r="Q387" t="s">
        <v>4641</v>
      </c>
      <c r="R387" t="s">
        <v>74</v>
      </c>
      <c r="S387" t="s">
        <v>74</v>
      </c>
      <c r="T387" t="s">
        <v>74</v>
      </c>
      <c r="U387" t="s">
        <v>74</v>
      </c>
      <c r="V387" t="s">
        <v>4761</v>
      </c>
      <c r="W387" t="s">
        <v>4762</v>
      </c>
      <c r="X387" t="s">
        <v>2526</v>
      </c>
      <c r="Y387" t="s">
        <v>4763</v>
      </c>
      <c r="Z387" t="s">
        <v>74</v>
      </c>
      <c r="AA387" t="s">
        <v>74</v>
      </c>
      <c r="AB387" t="s">
        <v>74</v>
      </c>
      <c r="AC387" t="s">
        <v>74</v>
      </c>
      <c r="AD387" t="s">
        <v>74</v>
      </c>
      <c r="AE387" t="s">
        <v>74</v>
      </c>
      <c r="AF387" t="s">
        <v>74</v>
      </c>
      <c r="AG387">
        <v>0</v>
      </c>
      <c r="AH387">
        <v>0</v>
      </c>
      <c r="AI387">
        <v>0</v>
      </c>
      <c r="AJ387">
        <v>0</v>
      </c>
      <c r="AK387">
        <v>3</v>
      </c>
      <c r="AL387" t="s">
        <v>2177</v>
      </c>
      <c r="AM387" t="s">
        <v>244</v>
      </c>
      <c r="AN387" t="s">
        <v>2186</v>
      </c>
      <c r="AO387" t="s">
        <v>74</v>
      </c>
      <c r="AP387" t="s">
        <v>74</v>
      </c>
      <c r="AQ387" t="s">
        <v>4645</v>
      </c>
      <c r="AR387" t="s">
        <v>4646</v>
      </c>
      <c r="AS387" t="s">
        <v>74</v>
      </c>
      <c r="AT387" t="s">
        <v>74</v>
      </c>
      <c r="AU387">
        <v>1998</v>
      </c>
      <c r="AV387" t="s">
        <v>74</v>
      </c>
      <c r="AW387" t="s">
        <v>74</v>
      </c>
      <c r="AX387" t="s">
        <v>74</v>
      </c>
      <c r="AY387" t="s">
        <v>74</v>
      </c>
      <c r="AZ387" t="s">
        <v>74</v>
      </c>
      <c r="BA387" t="s">
        <v>74</v>
      </c>
      <c r="BB387">
        <v>2249</v>
      </c>
      <c r="BC387">
        <v>2251</v>
      </c>
      <c r="BD387" t="s">
        <v>74</v>
      </c>
      <c r="BE387" t="s">
        <v>4764</v>
      </c>
      <c r="BF387" t="str">
        <f>HYPERLINK("http://dx.doi.org/10.1109/IGARSS.1998.703802","http://dx.doi.org/10.1109/IGARSS.1998.703802")</f>
        <v>http://dx.doi.org/10.1109/IGARSS.1998.703802</v>
      </c>
      <c r="BG387" t="s">
        <v>74</v>
      </c>
      <c r="BH387" t="s">
        <v>74</v>
      </c>
      <c r="BI387">
        <v>3</v>
      </c>
      <c r="BJ387" t="s">
        <v>4648</v>
      </c>
      <c r="BK387" t="s">
        <v>2189</v>
      </c>
      <c r="BL387" t="s">
        <v>4649</v>
      </c>
      <c r="BM387" t="s">
        <v>4650</v>
      </c>
      <c r="BN387" t="s">
        <v>74</v>
      </c>
      <c r="BO387" t="s">
        <v>74</v>
      </c>
      <c r="BP387" t="s">
        <v>74</v>
      </c>
      <c r="BQ387" t="s">
        <v>74</v>
      </c>
      <c r="BR387" t="s">
        <v>101</v>
      </c>
      <c r="BS387" t="s">
        <v>4765</v>
      </c>
      <c r="BT387" t="str">
        <f>HYPERLINK("https%3A%2F%2Fwww.webofscience.com%2Fwos%2Fwoscc%2Ffull-record%2FWOS:000075217100727","View Full Record in Web of Science")</f>
        <v>View Full Record in Web of Science</v>
      </c>
    </row>
    <row r="388" spans="1:72" x14ac:dyDescent="0.15">
      <c r="A388" t="s">
        <v>2175</v>
      </c>
      <c r="B388" t="s">
        <v>4766</v>
      </c>
      <c r="C388" t="s">
        <v>74</v>
      </c>
      <c r="D388" t="s">
        <v>4635</v>
      </c>
      <c r="E388" t="s">
        <v>74</v>
      </c>
      <c r="F388" t="s">
        <v>4766</v>
      </c>
      <c r="G388" t="s">
        <v>74</v>
      </c>
      <c r="H388" t="s">
        <v>74</v>
      </c>
      <c r="I388" t="s">
        <v>4767</v>
      </c>
      <c r="J388" t="s">
        <v>4637</v>
      </c>
      <c r="K388" t="s">
        <v>4638</v>
      </c>
      <c r="L388" t="s">
        <v>74</v>
      </c>
      <c r="M388" t="s">
        <v>77</v>
      </c>
      <c r="N388" t="s">
        <v>2180</v>
      </c>
      <c r="O388" t="s">
        <v>4639</v>
      </c>
      <c r="P388" t="s">
        <v>4640</v>
      </c>
      <c r="Q388" t="s">
        <v>4641</v>
      </c>
      <c r="R388" t="s">
        <v>74</v>
      </c>
      <c r="S388" t="s">
        <v>74</v>
      </c>
      <c r="T388" t="s">
        <v>74</v>
      </c>
      <c r="U388" t="s">
        <v>74</v>
      </c>
      <c r="V388" t="s">
        <v>4768</v>
      </c>
      <c r="W388" t="s">
        <v>3042</v>
      </c>
      <c r="X388" t="s">
        <v>74</v>
      </c>
      <c r="Y388" t="s">
        <v>4769</v>
      </c>
      <c r="Z388" t="s">
        <v>74</v>
      </c>
      <c r="AA388" t="s">
        <v>74</v>
      </c>
      <c r="AB388" t="s">
        <v>1064</v>
      </c>
      <c r="AC388" t="s">
        <v>74</v>
      </c>
      <c r="AD388" t="s">
        <v>74</v>
      </c>
      <c r="AE388" t="s">
        <v>74</v>
      </c>
      <c r="AF388" t="s">
        <v>74</v>
      </c>
      <c r="AG388">
        <v>0</v>
      </c>
      <c r="AH388">
        <v>1</v>
      </c>
      <c r="AI388">
        <v>1</v>
      </c>
      <c r="AJ388">
        <v>0</v>
      </c>
      <c r="AK388">
        <v>2</v>
      </c>
      <c r="AL388" t="s">
        <v>2177</v>
      </c>
      <c r="AM388" t="s">
        <v>244</v>
      </c>
      <c r="AN388" t="s">
        <v>2186</v>
      </c>
      <c r="AO388" t="s">
        <v>74</v>
      </c>
      <c r="AP388" t="s">
        <v>74</v>
      </c>
      <c r="AQ388" t="s">
        <v>4645</v>
      </c>
      <c r="AR388" t="s">
        <v>4646</v>
      </c>
      <c r="AS388" t="s">
        <v>74</v>
      </c>
      <c r="AT388" t="s">
        <v>74</v>
      </c>
      <c r="AU388">
        <v>1998</v>
      </c>
      <c r="AV388" t="s">
        <v>74</v>
      </c>
      <c r="AW388" t="s">
        <v>74</v>
      </c>
      <c r="AX388" t="s">
        <v>74</v>
      </c>
      <c r="AY388" t="s">
        <v>74</v>
      </c>
      <c r="AZ388" t="s">
        <v>74</v>
      </c>
      <c r="BA388" t="s">
        <v>74</v>
      </c>
      <c r="BB388">
        <v>2261</v>
      </c>
      <c r="BC388">
        <v>2263</v>
      </c>
      <c r="BD388" t="s">
        <v>74</v>
      </c>
      <c r="BE388" t="s">
        <v>4770</v>
      </c>
      <c r="BF388" t="str">
        <f>HYPERLINK("http://dx.doi.org/10.1109/IGARSS.1998.703806","http://dx.doi.org/10.1109/IGARSS.1998.703806")</f>
        <v>http://dx.doi.org/10.1109/IGARSS.1998.703806</v>
      </c>
      <c r="BG388" t="s">
        <v>74</v>
      </c>
      <c r="BH388" t="s">
        <v>74</v>
      </c>
      <c r="BI388">
        <v>3</v>
      </c>
      <c r="BJ388" t="s">
        <v>4648</v>
      </c>
      <c r="BK388" t="s">
        <v>2189</v>
      </c>
      <c r="BL388" t="s">
        <v>4649</v>
      </c>
      <c r="BM388" t="s">
        <v>4650</v>
      </c>
      <c r="BN388" t="s">
        <v>74</v>
      </c>
      <c r="BO388" t="s">
        <v>74</v>
      </c>
      <c r="BP388" t="s">
        <v>74</v>
      </c>
      <c r="BQ388" t="s">
        <v>74</v>
      </c>
      <c r="BR388" t="s">
        <v>101</v>
      </c>
      <c r="BS388" t="s">
        <v>4771</v>
      </c>
      <c r="BT388" t="str">
        <f>HYPERLINK("https%3A%2F%2Fwww.webofscience.com%2Fwos%2Fwoscc%2Ffull-record%2FWOS:000075217100731","View Full Record in Web of Science")</f>
        <v>View Full Record in Web of Science</v>
      </c>
    </row>
    <row r="389" spans="1:72" x14ac:dyDescent="0.15">
      <c r="A389" t="s">
        <v>2175</v>
      </c>
      <c r="B389" t="s">
        <v>4772</v>
      </c>
      <c r="C389" t="s">
        <v>74</v>
      </c>
      <c r="D389" t="s">
        <v>4635</v>
      </c>
      <c r="E389" t="s">
        <v>74</v>
      </c>
      <c r="F389" t="s">
        <v>4772</v>
      </c>
      <c r="G389" t="s">
        <v>74</v>
      </c>
      <c r="H389" t="s">
        <v>74</v>
      </c>
      <c r="I389" t="s">
        <v>4773</v>
      </c>
      <c r="J389" t="s">
        <v>4637</v>
      </c>
      <c r="K389" t="s">
        <v>4638</v>
      </c>
      <c r="L389" t="s">
        <v>74</v>
      </c>
      <c r="M389" t="s">
        <v>77</v>
      </c>
      <c r="N389" t="s">
        <v>2180</v>
      </c>
      <c r="O389" t="s">
        <v>4639</v>
      </c>
      <c r="P389" t="s">
        <v>4640</v>
      </c>
      <c r="Q389" t="s">
        <v>4641</v>
      </c>
      <c r="R389" t="s">
        <v>74</v>
      </c>
      <c r="S389" t="s">
        <v>74</v>
      </c>
      <c r="T389" t="s">
        <v>74</v>
      </c>
      <c r="U389" t="s">
        <v>74</v>
      </c>
      <c r="V389" t="s">
        <v>4774</v>
      </c>
      <c r="W389" t="s">
        <v>4775</v>
      </c>
      <c r="X389" t="s">
        <v>2526</v>
      </c>
      <c r="Y389" t="s">
        <v>4776</v>
      </c>
      <c r="Z389" t="s">
        <v>74</v>
      </c>
      <c r="AA389" t="s">
        <v>74</v>
      </c>
      <c r="AB389" t="s">
        <v>74</v>
      </c>
      <c r="AC389" t="s">
        <v>74</v>
      </c>
      <c r="AD389" t="s">
        <v>74</v>
      </c>
      <c r="AE389" t="s">
        <v>74</v>
      </c>
      <c r="AF389" t="s">
        <v>74</v>
      </c>
      <c r="AG389">
        <v>0</v>
      </c>
      <c r="AH389">
        <v>4</v>
      </c>
      <c r="AI389">
        <v>4</v>
      </c>
      <c r="AJ389">
        <v>0</v>
      </c>
      <c r="AK389">
        <v>4</v>
      </c>
      <c r="AL389" t="s">
        <v>2177</v>
      </c>
      <c r="AM389" t="s">
        <v>244</v>
      </c>
      <c r="AN389" t="s">
        <v>2186</v>
      </c>
      <c r="AO389" t="s">
        <v>74</v>
      </c>
      <c r="AP389" t="s">
        <v>74</v>
      </c>
      <c r="AQ389" t="s">
        <v>4645</v>
      </c>
      <c r="AR389" t="s">
        <v>4646</v>
      </c>
      <c r="AS389" t="s">
        <v>74</v>
      </c>
      <c r="AT389" t="s">
        <v>74</v>
      </c>
      <c r="AU389">
        <v>1998</v>
      </c>
      <c r="AV389" t="s">
        <v>74</v>
      </c>
      <c r="AW389" t="s">
        <v>74</v>
      </c>
      <c r="AX389" t="s">
        <v>74</v>
      </c>
      <c r="AY389" t="s">
        <v>74</v>
      </c>
      <c r="AZ389" t="s">
        <v>74</v>
      </c>
      <c r="BA389" t="s">
        <v>74</v>
      </c>
      <c r="BB389">
        <v>2267</v>
      </c>
      <c r="BC389">
        <v>2269</v>
      </c>
      <c r="BD389" t="s">
        <v>74</v>
      </c>
      <c r="BE389" t="s">
        <v>4777</v>
      </c>
      <c r="BF389" t="str">
        <f>HYPERLINK("http://dx.doi.org/10.1109/IGARSS.1998.703808","http://dx.doi.org/10.1109/IGARSS.1998.703808")</f>
        <v>http://dx.doi.org/10.1109/IGARSS.1998.703808</v>
      </c>
      <c r="BG389" t="s">
        <v>74</v>
      </c>
      <c r="BH389" t="s">
        <v>74</v>
      </c>
      <c r="BI389">
        <v>3</v>
      </c>
      <c r="BJ389" t="s">
        <v>4648</v>
      </c>
      <c r="BK389" t="s">
        <v>2189</v>
      </c>
      <c r="BL389" t="s">
        <v>4649</v>
      </c>
      <c r="BM389" t="s">
        <v>4650</v>
      </c>
      <c r="BN389" t="s">
        <v>74</v>
      </c>
      <c r="BO389" t="s">
        <v>74</v>
      </c>
      <c r="BP389" t="s">
        <v>74</v>
      </c>
      <c r="BQ389" t="s">
        <v>74</v>
      </c>
      <c r="BR389" t="s">
        <v>101</v>
      </c>
      <c r="BS389" t="s">
        <v>4778</v>
      </c>
      <c r="BT389" t="str">
        <f>HYPERLINK("https%3A%2F%2Fwww.webofscience.com%2Fwos%2Fwoscc%2Ffull-record%2FWOS:000075217100733","View Full Record in Web of Science")</f>
        <v>View Full Record in Web of Science</v>
      </c>
    </row>
    <row r="390" spans="1:72" x14ac:dyDescent="0.15">
      <c r="A390" t="s">
        <v>2175</v>
      </c>
      <c r="B390" t="s">
        <v>4779</v>
      </c>
      <c r="C390" t="s">
        <v>74</v>
      </c>
      <c r="D390" t="s">
        <v>4635</v>
      </c>
      <c r="E390" t="s">
        <v>74</v>
      </c>
      <c r="F390" t="s">
        <v>4779</v>
      </c>
      <c r="G390" t="s">
        <v>74</v>
      </c>
      <c r="H390" t="s">
        <v>74</v>
      </c>
      <c r="I390" t="s">
        <v>4780</v>
      </c>
      <c r="J390" t="s">
        <v>4637</v>
      </c>
      <c r="K390" t="s">
        <v>4638</v>
      </c>
      <c r="L390" t="s">
        <v>74</v>
      </c>
      <c r="M390" t="s">
        <v>77</v>
      </c>
      <c r="N390" t="s">
        <v>2180</v>
      </c>
      <c r="O390" t="s">
        <v>4639</v>
      </c>
      <c r="P390" t="s">
        <v>4640</v>
      </c>
      <c r="Q390" t="s">
        <v>4641</v>
      </c>
      <c r="R390" t="s">
        <v>74</v>
      </c>
      <c r="S390" t="s">
        <v>74</v>
      </c>
      <c r="T390" t="s">
        <v>74</v>
      </c>
      <c r="U390" t="s">
        <v>74</v>
      </c>
      <c r="V390" t="s">
        <v>4781</v>
      </c>
      <c r="W390" t="s">
        <v>4782</v>
      </c>
      <c r="X390" t="s">
        <v>4783</v>
      </c>
      <c r="Y390" t="s">
        <v>4784</v>
      </c>
      <c r="Z390" t="s">
        <v>74</v>
      </c>
      <c r="AA390" t="s">
        <v>74</v>
      </c>
      <c r="AB390" t="s">
        <v>74</v>
      </c>
      <c r="AC390" t="s">
        <v>74</v>
      </c>
      <c r="AD390" t="s">
        <v>74</v>
      </c>
      <c r="AE390" t="s">
        <v>74</v>
      </c>
      <c r="AF390" t="s">
        <v>74</v>
      </c>
      <c r="AG390">
        <v>0</v>
      </c>
      <c r="AH390">
        <v>1</v>
      </c>
      <c r="AI390">
        <v>1</v>
      </c>
      <c r="AJ390">
        <v>0</v>
      </c>
      <c r="AK390">
        <v>0</v>
      </c>
      <c r="AL390" t="s">
        <v>2177</v>
      </c>
      <c r="AM390" t="s">
        <v>244</v>
      </c>
      <c r="AN390" t="s">
        <v>2186</v>
      </c>
      <c r="AO390" t="s">
        <v>74</v>
      </c>
      <c r="AP390" t="s">
        <v>74</v>
      </c>
      <c r="AQ390" t="s">
        <v>4645</v>
      </c>
      <c r="AR390" t="s">
        <v>4646</v>
      </c>
      <c r="AS390" t="s">
        <v>74</v>
      </c>
      <c r="AT390" t="s">
        <v>74</v>
      </c>
      <c r="AU390">
        <v>1998</v>
      </c>
      <c r="AV390" t="s">
        <v>74</v>
      </c>
      <c r="AW390" t="s">
        <v>74</v>
      </c>
      <c r="AX390" t="s">
        <v>74</v>
      </c>
      <c r="AY390" t="s">
        <v>74</v>
      </c>
      <c r="AZ390" t="s">
        <v>74</v>
      </c>
      <c r="BA390" t="s">
        <v>74</v>
      </c>
      <c r="BB390">
        <v>2454</v>
      </c>
      <c r="BC390">
        <v>2458</v>
      </c>
      <c r="BD390" t="s">
        <v>74</v>
      </c>
      <c r="BE390" t="s">
        <v>4785</v>
      </c>
      <c r="BF390" t="str">
        <f>HYPERLINK("http://dx.doi.org/10.1109/IGARSS.1998.702244","http://dx.doi.org/10.1109/IGARSS.1998.702244")</f>
        <v>http://dx.doi.org/10.1109/IGARSS.1998.702244</v>
      </c>
      <c r="BG390" t="s">
        <v>74</v>
      </c>
      <c r="BH390" t="s">
        <v>74</v>
      </c>
      <c r="BI390">
        <v>5</v>
      </c>
      <c r="BJ390" t="s">
        <v>4648</v>
      </c>
      <c r="BK390" t="s">
        <v>2189</v>
      </c>
      <c r="BL390" t="s">
        <v>4649</v>
      </c>
      <c r="BM390" t="s">
        <v>4650</v>
      </c>
      <c r="BN390" t="s">
        <v>74</v>
      </c>
      <c r="BO390" t="s">
        <v>74</v>
      </c>
      <c r="BP390" t="s">
        <v>74</v>
      </c>
      <c r="BQ390" t="s">
        <v>74</v>
      </c>
      <c r="BR390" t="s">
        <v>101</v>
      </c>
      <c r="BS390" t="s">
        <v>4786</v>
      </c>
      <c r="BT390" t="str">
        <f>HYPERLINK("https%3A%2F%2Fwww.webofscience.com%2Fwos%2Fwoscc%2Ffull-record%2FWOS:000075217100792","View Full Record in Web of Science")</f>
        <v>View Full Record in Web of Science</v>
      </c>
    </row>
    <row r="391" spans="1:72" x14ac:dyDescent="0.15">
      <c r="A391" t="s">
        <v>2175</v>
      </c>
      <c r="B391" t="s">
        <v>4787</v>
      </c>
      <c r="C391" t="s">
        <v>74</v>
      </c>
      <c r="D391" t="s">
        <v>4635</v>
      </c>
      <c r="E391" t="s">
        <v>74</v>
      </c>
      <c r="F391" t="s">
        <v>4787</v>
      </c>
      <c r="G391" t="s">
        <v>74</v>
      </c>
      <c r="H391" t="s">
        <v>74</v>
      </c>
      <c r="I391" t="s">
        <v>4788</v>
      </c>
      <c r="J391" t="s">
        <v>4637</v>
      </c>
      <c r="K391" t="s">
        <v>4638</v>
      </c>
      <c r="L391" t="s">
        <v>74</v>
      </c>
      <c r="M391" t="s">
        <v>77</v>
      </c>
      <c r="N391" t="s">
        <v>2180</v>
      </c>
      <c r="O391" t="s">
        <v>4639</v>
      </c>
      <c r="P391" t="s">
        <v>4640</v>
      </c>
      <c r="Q391" t="s">
        <v>4641</v>
      </c>
      <c r="R391" t="s">
        <v>74</v>
      </c>
      <c r="S391" t="s">
        <v>74</v>
      </c>
      <c r="T391" t="s">
        <v>74</v>
      </c>
      <c r="U391" t="s">
        <v>74</v>
      </c>
      <c r="V391" t="s">
        <v>74</v>
      </c>
      <c r="W391" t="s">
        <v>4679</v>
      </c>
      <c r="X391" t="s">
        <v>4680</v>
      </c>
      <c r="Y391" t="s">
        <v>4746</v>
      </c>
      <c r="Z391" t="s">
        <v>74</v>
      </c>
      <c r="AA391" t="s">
        <v>74</v>
      </c>
      <c r="AB391" t="s">
        <v>74</v>
      </c>
      <c r="AC391" t="s">
        <v>74</v>
      </c>
      <c r="AD391" t="s">
        <v>74</v>
      </c>
      <c r="AE391" t="s">
        <v>74</v>
      </c>
      <c r="AF391" t="s">
        <v>74</v>
      </c>
      <c r="AG391">
        <v>0</v>
      </c>
      <c r="AH391">
        <v>16</v>
      </c>
      <c r="AI391">
        <v>16</v>
      </c>
      <c r="AJ391">
        <v>0</v>
      </c>
      <c r="AK391">
        <v>0</v>
      </c>
      <c r="AL391" t="s">
        <v>2177</v>
      </c>
      <c r="AM391" t="s">
        <v>244</v>
      </c>
      <c r="AN391" t="s">
        <v>2186</v>
      </c>
      <c r="AO391" t="s">
        <v>74</v>
      </c>
      <c r="AP391" t="s">
        <v>74</v>
      </c>
      <c r="AQ391" t="s">
        <v>4645</v>
      </c>
      <c r="AR391" t="s">
        <v>4646</v>
      </c>
      <c r="AS391" t="s">
        <v>74</v>
      </c>
      <c r="AT391" t="s">
        <v>74</v>
      </c>
      <c r="AU391">
        <v>1998</v>
      </c>
      <c r="AV391" t="s">
        <v>74</v>
      </c>
      <c r="AW391" t="s">
        <v>74</v>
      </c>
      <c r="AX391" t="s">
        <v>74</v>
      </c>
      <c r="AY391" t="s">
        <v>74</v>
      </c>
      <c r="AZ391" t="s">
        <v>74</v>
      </c>
      <c r="BA391" t="s">
        <v>74</v>
      </c>
      <c r="BB391">
        <v>2462</v>
      </c>
      <c r="BC391">
        <v>2464</v>
      </c>
      <c r="BD391" t="s">
        <v>74</v>
      </c>
      <c r="BE391" t="s">
        <v>4789</v>
      </c>
      <c r="BF391" t="str">
        <f>HYPERLINK("http://dx.doi.org/10.1109/IGARSS.1998.702246","http://dx.doi.org/10.1109/IGARSS.1998.702246")</f>
        <v>http://dx.doi.org/10.1109/IGARSS.1998.702246</v>
      </c>
      <c r="BG391" t="s">
        <v>74</v>
      </c>
      <c r="BH391" t="s">
        <v>74</v>
      </c>
      <c r="BI391">
        <v>3</v>
      </c>
      <c r="BJ391" t="s">
        <v>4648</v>
      </c>
      <c r="BK391" t="s">
        <v>2189</v>
      </c>
      <c r="BL391" t="s">
        <v>4649</v>
      </c>
      <c r="BM391" t="s">
        <v>4650</v>
      </c>
      <c r="BN391" t="s">
        <v>74</v>
      </c>
      <c r="BO391" t="s">
        <v>1351</v>
      </c>
      <c r="BP391" t="s">
        <v>74</v>
      </c>
      <c r="BQ391" t="s">
        <v>74</v>
      </c>
      <c r="BR391" t="s">
        <v>101</v>
      </c>
      <c r="BS391" t="s">
        <v>4790</v>
      </c>
      <c r="BT391" t="str">
        <f>HYPERLINK("https%3A%2F%2Fwww.webofscience.com%2Fwos%2Fwoscc%2Ffull-record%2FWOS:000075217100794","View Full Record in Web of Science")</f>
        <v>View Full Record in Web of Science</v>
      </c>
    </row>
    <row r="392" spans="1:72" x14ac:dyDescent="0.15">
      <c r="A392" t="s">
        <v>2175</v>
      </c>
      <c r="B392" t="s">
        <v>4791</v>
      </c>
      <c r="C392" t="s">
        <v>74</v>
      </c>
      <c r="D392" t="s">
        <v>4635</v>
      </c>
      <c r="E392" t="s">
        <v>74</v>
      </c>
      <c r="F392" t="s">
        <v>4791</v>
      </c>
      <c r="G392" t="s">
        <v>74</v>
      </c>
      <c r="H392" t="s">
        <v>74</v>
      </c>
      <c r="I392" t="s">
        <v>4792</v>
      </c>
      <c r="J392" t="s">
        <v>4637</v>
      </c>
      <c r="K392" t="s">
        <v>4638</v>
      </c>
      <c r="L392" t="s">
        <v>74</v>
      </c>
      <c r="M392" t="s">
        <v>77</v>
      </c>
      <c r="N392" t="s">
        <v>2180</v>
      </c>
      <c r="O392" t="s">
        <v>4639</v>
      </c>
      <c r="P392" t="s">
        <v>4640</v>
      </c>
      <c r="Q392" t="s">
        <v>4641</v>
      </c>
      <c r="R392" t="s">
        <v>74</v>
      </c>
      <c r="S392" t="s">
        <v>74</v>
      </c>
      <c r="T392" t="s">
        <v>74</v>
      </c>
      <c r="U392" t="s">
        <v>74</v>
      </c>
      <c r="V392" t="s">
        <v>74</v>
      </c>
      <c r="W392" t="s">
        <v>4793</v>
      </c>
      <c r="X392" t="s">
        <v>4794</v>
      </c>
      <c r="Y392" t="s">
        <v>4795</v>
      </c>
      <c r="Z392" t="s">
        <v>74</v>
      </c>
      <c r="AA392" t="s">
        <v>74</v>
      </c>
      <c r="AB392" t="s">
        <v>74</v>
      </c>
      <c r="AC392" t="s">
        <v>74</v>
      </c>
      <c r="AD392" t="s">
        <v>74</v>
      </c>
      <c r="AE392" t="s">
        <v>74</v>
      </c>
      <c r="AF392" t="s">
        <v>74</v>
      </c>
      <c r="AG392">
        <v>0</v>
      </c>
      <c r="AH392">
        <v>0</v>
      </c>
      <c r="AI392">
        <v>0</v>
      </c>
      <c r="AJ392">
        <v>0</v>
      </c>
      <c r="AK392">
        <v>1</v>
      </c>
      <c r="AL392" t="s">
        <v>2177</v>
      </c>
      <c r="AM392" t="s">
        <v>244</v>
      </c>
      <c r="AN392" t="s">
        <v>2186</v>
      </c>
      <c r="AO392" t="s">
        <v>74</v>
      </c>
      <c r="AP392" t="s">
        <v>74</v>
      </c>
      <c r="AQ392" t="s">
        <v>4645</v>
      </c>
      <c r="AR392" t="s">
        <v>4646</v>
      </c>
      <c r="AS392" t="s">
        <v>74</v>
      </c>
      <c r="AT392" t="s">
        <v>74</v>
      </c>
      <c r="AU392">
        <v>1998</v>
      </c>
      <c r="AV392" t="s">
        <v>74</v>
      </c>
      <c r="AW392" t="s">
        <v>74</v>
      </c>
      <c r="AX392" t="s">
        <v>74</v>
      </c>
      <c r="AY392" t="s">
        <v>74</v>
      </c>
      <c r="AZ392" t="s">
        <v>74</v>
      </c>
      <c r="BA392" t="s">
        <v>74</v>
      </c>
      <c r="BB392">
        <v>2541</v>
      </c>
      <c r="BC392">
        <v>2543</v>
      </c>
      <c r="BD392" t="s">
        <v>74</v>
      </c>
      <c r="BE392" t="s">
        <v>4796</v>
      </c>
      <c r="BF392" t="str">
        <f>HYPERLINK("http://dx.doi.org/10.1109/IGARSS.1998.702272","http://dx.doi.org/10.1109/IGARSS.1998.702272")</f>
        <v>http://dx.doi.org/10.1109/IGARSS.1998.702272</v>
      </c>
      <c r="BG392" t="s">
        <v>74</v>
      </c>
      <c r="BH392" t="s">
        <v>74</v>
      </c>
      <c r="BI392">
        <v>3</v>
      </c>
      <c r="BJ392" t="s">
        <v>4648</v>
      </c>
      <c r="BK392" t="s">
        <v>2189</v>
      </c>
      <c r="BL392" t="s">
        <v>4649</v>
      </c>
      <c r="BM392" t="s">
        <v>4650</v>
      </c>
      <c r="BN392" t="s">
        <v>74</v>
      </c>
      <c r="BO392" t="s">
        <v>74</v>
      </c>
      <c r="BP392" t="s">
        <v>74</v>
      </c>
      <c r="BQ392" t="s">
        <v>74</v>
      </c>
      <c r="BR392" t="s">
        <v>101</v>
      </c>
      <c r="BS392" t="s">
        <v>4797</v>
      </c>
      <c r="BT392" t="str">
        <f>HYPERLINK("https%3A%2F%2Fwww.webofscience.com%2Fwos%2Fwoscc%2Ffull-record%2FWOS:000075217100820","View Full Record in Web of Science")</f>
        <v>View Full Record in Web of Science</v>
      </c>
    </row>
    <row r="393" spans="1:72" x14ac:dyDescent="0.15">
      <c r="A393" t="s">
        <v>2175</v>
      </c>
      <c r="B393" t="s">
        <v>4798</v>
      </c>
      <c r="C393" t="s">
        <v>74</v>
      </c>
      <c r="D393" t="s">
        <v>4799</v>
      </c>
      <c r="E393" t="s">
        <v>74</v>
      </c>
      <c r="F393" t="s">
        <v>4798</v>
      </c>
      <c r="G393" t="s">
        <v>74</v>
      </c>
      <c r="H393" t="s">
        <v>74</v>
      </c>
      <c r="I393" t="s">
        <v>4800</v>
      </c>
      <c r="J393" t="s">
        <v>4801</v>
      </c>
      <c r="K393" t="s">
        <v>2562</v>
      </c>
      <c r="L393" t="s">
        <v>74</v>
      </c>
      <c r="M393" t="s">
        <v>77</v>
      </c>
      <c r="N393" t="s">
        <v>2180</v>
      </c>
      <c r="O393" t="s">
        <v>4802</v>
      </c>
      <c r="P393" t="s">
        <v>4803</v>
      </c>
      <c r="Q393" t="s">
        <v>2565</v>
      </c>
      <c r="R393" t="s">
        <v>74</v>
      </c>
      <c r="S393" t="s">
        <v>74</v>
      </c>
      <c r="T393" t="s">
        <v>4804</v>
      </c>
      <c r="U393" t="s">
        <v>74</v>
      </c>
      <c r="V393" t="s">
        <v>4805</v>
      </c>
      <c r="W393" t="s">
        <v>960</v>
      </c>
      <c r="X393" t="s">
        <v>961</v>
      </c>
      <c r="Y393" t="s">
        <v>4806</v>
      </c>
      <c r="Z393" t="s">
        <v>74</v>
      </c>
      <c r="AA393" t="s">
        <v>74</v>
      </c>
      <c r="AB393" t="s">
        <v>4807</v>
      </c>
      <c r="AC393" t="s">
        <v>74</v>
      </c>
      <c r="AD393" t="s">
        <v>74</v>
      </c>
      <c r="AE393" t="s">
        <v>74</v>
      </c>
      <c r="AF393" t="s">
        <v>74</v>
      </c>
      <c r="AG393">
        <v>0</v>
      </c>
      <c r="AH393">
        <v>0</v>
      </c>
      <c r="AI393">
        <v>0</v>
      </c>
      <c r="AJ393">
        <v>0</v>
      </c>
      <c r="AK393">
        <v>4</v>
      </c>
      <c r="AL393" t="s">
        <v>2573</v>
      </c>
      <c r="AM393" t="s">
        <v>2574</v>
      </c>
      <c r="AN393" t="s">
        <v>2575</v>
      </c>
      <c r="AO393" t="s">
        <v>2576</v>
      </c>
      <c r="AP393" t="s">
        <v>74</v>
      </c>
      <c r="AQ393" t="s">
        <v>4808</v>
      </c>
      <c r="AR393" t="s">
        <v>2578</v>
      </c>
      <c r="AS393" t="s">
        <v>74</v>
      </c>
      <c r="AT393" t="s">
        <v>74</v>
      </c>
      <c r="AU393">
        <v>1998</v>
      </c>
      <c r="AV393">
        <v>3354</v>
      </c>
      <c r="AW393" t="s">
        <v>74</v>
      </c>
      <c r="AX393" t="s">
        <v>4809</v>
      </c>
      <c r="AY393" t="s">
        <v>74</v>
      </c>
      <c r="AZ393" t="s">
        <v>74</v>
      </c>
      <c r="BA393" t="s">
        <v>74</v>
      </c>
      <c r="BB393">
        <v>1158</v>
      </c>
      <c r="BC393">
        <v>1164</v>
      </c>
      <c r="BD393" t="s">
        <v>74</v>
      </c>
      <c r="BE393" t="s">
        <v>4810</v>
      </c>
      <c r="BF393" t="str">
        <f>HYPERLINK("http://dx.doi.org/10.1117/12.317241","http://dx.doi.org/10.1117/12.317241")</f>
        <v>http://dx.doi.org/10.1117/12.317241</v>
      </c>
      <c r="BG393" t="s">
        <v>74</v>
      </c>
      <c r="BH393" t="s">
        <v>74</v>
      </c>
      <c r="BI393">
        <v>7</v>
      </c>
      <c r="BJ393" t="s">
        <v>2580</v>
      </c>
      <c r="BK393" t="s">
        <v>2189</v>
      </c>
      <c r="BL393" t="s">
        <v>2580</v>
      </c>
      <c r="BM393" t="s">
        <v>4811</v>
      </c>
      <c r="BN393" t="s">
        <v>74</v>
      </c>
      <c r="BO393" t="s">
        <v>1351</v>
      </c>
      <c r="BP393" t="s">
        <v>74</v>
      </c>
      <c r="BQ393" t="s">
        <v>74</v>
      </c>
      <c r="BR393" t="s">
        <v>101</v>
      </c>
      <c r="BS393" t="s">
        <v>4812</v>
      </c>
      <c r="BT393" t="str">
        <f>HYPERLINK("https%3A%2F%2Fwww.webofscience.com%2Fwos%2Fwoscc%2Ffull-record%2FWOS:000075982700127","View Full Record in Web of Science")</f>
        <v>View Full Record in Web of Science</v>
      </c>
    </row>
    <row r="394" spans="1:72" x14ac:dyDescent="0.15">
      <c r="A394" t="s">
        <v>2175</v>
      </c>
      <c r="B394" t="s">
        <v>4813</v>
      </c>
      <c r="C394" t="s">
        <v>74</v>
      </c>
      <c r="D394" t="s">
        <v>4814</v>
      </c>
      <c r="E394" t="s">
        <v>74</v>
      </c>
      <c r="F394" t="s">
        <v>4813</v>
      </c>
      <c r="G394" t="s">
        <v>74</v>
      </c>
      <c r="H394" t="s">
        <v>74</v>
      </c>
      <c r="I394" t="s">
        <v>4815</v>
      </c>
      <c r="J394" t="s">
        <v>4816</v>
      </c>
      <c r="K394" t="s">
        <v>2562</v>
      </c>
      <c r="L394" t="s">
        <v>74</v>
      </c>
      <c r="M394" t="s">
        <v>77</v>
      </c>
      <c r="N394" t="s">
        <v>2180</v>
      </c>
      <c r="O394" t="s">
        <v>4817</v>
      </c>
      <c r="P394" t="s">
        <v>4818</v>
      </c>
      <c r="Q394" t="s">
        <v>4819</v>
      </c>
      <c r="R394" t="s">
        <v>74</v>
      </c>
      <c r="S394" t="s">
        <v>74</v>
      </c>
      <c r="T394" t="s">
        <v>4820</v>
      </c>
      <c r="U394" t="s">
        <v>74</v>
      </c>
      <c r="V394" t="s">
        <v>4821</v>
      </c>
      <c r="W394" t="s">
        <v>4822</v>
      </c>
      <c r="X394" t="s">
        <v>4823</v>
      </c>
      <c r="Y394" t="s">
        <v>4824</v>
      </c>
      <c r="Z394" t="s">
        <v>74</v>
      </c>
      <c r="AA394" t="s">
        <v>4825</v>
      </c>
      <c r="AB394" t="s">
        <v>4826</v>
      </c>
      <c r="AC394" t="s">
        <v>74</v>
      </c>
      <c r="AD394" t="s">
        <v>74</v>
      </c>
      <c r="AE394" t="s">
        <v>74</v>
      </c>
      <c r="AF394" t="s">
        <v>74</v>
      </c>
      <c r="AG394">
        <v>0</v>
      </c>
      <c r="AH394">
        <v>10</v>
      </c>
      <c r="AI394">
        <v>11</v>
      </c>
      <c r="AJ394">
        <v>1</v>
      </c>
      <c r="AK394">
        <v>7</v>
      </c>
      <c r="AL394" t="s">
        <v>2573</v>
      </c>
      <c r="AM394" t="s">
        <v>2574</v>
      </c>
      <c r="AN394" t="s">
        <v>2575</v>
      </c>
      <c r="AO394" t="s">
        <v>2576</v>
      </c>
      <c r="AP394" t="s">
        <v>74</v>
      </c>
      <c r="AQ394" t="s">
        <v>4827</v>
      </c>
      <c r="AR394" t="s">
        <v>2578</v>
      </c>
      <c r="AS394" t="s">
        <v>74</v>
      </c>
      <c r="AT394" t="s">
        <v>74</v>
      </c>
      <c r="AU394">
        <v>1998</v>
      </c>
      <c r="AV394">
        <v>3441</v>
      </c>
      <c r="AW394" t="s">
        <v>74</v>
      </c>
      <c r="AX394" t="s">
        <v>74</v>
      </c>
      <c r="AY394" t="s">
        <v>74</v>
      </c>
      <c r="AZ394" t="s">
        <v>74</v>
      </c>
      <c r="BA394" t="s">
        <v>74</v>
      </c>
      <c r="BB394">
        <v>75</v>
      </c>
      <c r="BC394">
        <v>84</v>
      </c>
      <c r="BD394" t="s">
        <v>74</v>
      </c>
      <c r="BE394" t="s">
        <v>4828</v>
      </c>
      <c r="BF394" t="str">
        <f>HYPERLINK("http://dx.doi.org/10.1117/12.319824","http://dx.doi.org/10.1117/12.319824")</f>
        <v>http://dx.doi.org/10.1117/12.319824</v>
      </c>
      <c r="BG394" t="s">
        <v>74</v>
      </c>
      <c r="BH394" t="s">
        <v>74</v>
      </c>
      <c r="BI394">
        <v>10</v>
      </c>
      <c r="BJ394" t="s">
        <v>4829</v>
      </c>
      <c r="BK394" t="s">
        <v>2189</v>
      </c>
      <c r="BL394" t="s">
        <v>4830</v>
      </c>
      <c r="BM394" t="s">
        <v>4831</v>
      </c>
      <c r="BN394" t="s">
        <v>74</v>
      </c>
      <c r="BO394" t="s">
        <v>74</v>
      </c>
      <c r="BP394" t="s">
        <v>74</v>
      </c>
      <c r="BQ394" t="s">
        <v>74</v>
      </c>
      <c r="BR394" t="s">
        <v>101</v>
      </c>
      <c r="BS394" t="s">
        <v>4832</v>
      </c>
      <c r="BT394" t="str">
        <f>HYPERLINK("https%3A%2F%2Fwww.webofscience.com%2Fwos%2Fwoscc%2Ffull-record%2FWOS:000078010100008","View Full Record in Web of Science")</f>
        <v>View Full Record in Web of Science</v>
      </c>
    </row>
    <row r="395" spans="1:72" x14ac:dyDescent="0.15">
      <c r="A395" t="s">
        <v>2175</v>
      </c>
      <c r="B395" t="s">
        <v>4833</v>
      </c>
      <c r="C395" t="s">
        <v>74</v>
      </c>
      <c r="D395" t="s">
        <v>4834</v>
      </c>
      <c r="E395" t="s">
        <v>74</v>
      </c>
      <c r="F395" t="s">
        <v>4833</v>
      </c>
      <c r="G395" t="s">
        <v>74</v>
      </c>
      <c r="H395" t="s">
        <v>74</v>
      </c>
      <c r="I395" t="s">
        <v>4835</v>
      </c>
      <c r="J395" t="s">
        <v>4836</v>
      </c>
      <c r="K395" t="s">
        <v>74</v>
      </c>
      <c r="L395" t="s">
        <v>74</v>
      </c>
      <c r="M395" t="s">
        <v>77</v>
      </c>
      <c r="N395" t="s">
        <v>2180</v>
      </c>
      <c r="O395" t="s">
        <v>4837</v>
      </c>
      <c r="P395" t="s">
        <v>4838</v>
      </c>
      <c r="Q395" t="s">
        <v>4839</v>
      </c>
      <c r="R395" t="s">
        <v>74</v>
      </c>
      <c r="S395" t="s">
        <v>74</v>
      </c>
      <c r="T395" t="s">
        <v>4840</v>
      </c>
      <c r="U395" t="s">
        <v>74</v>
      </c>
      <c r="V395" t="s">
        <v>4841</v>
      </c>
      <c r="W395" t="s">
        <v>4842</v>
      </c>
      <c r="X395" t="s">
        <v>2235</v>
      </c>
      <c r="Y395" t="s">
        <v>4843</v>
      </c>
      <c r="Z395" t="s">
        <v>74</v>
      </c>
      <c r="AA395" t="s">
        <v>4844</v>
      </c>
      <c r="AB395" t="s">
        <v>74</v>
      </c>
      <c r="AC395" t="s">
        <v>74</v>
      </c>
      <c r="AD395" t="s">
        <v>74</v>
      </c>
      <c r="AE395" t="s">
        <v>74</v>
      </c>
      <c r="AF395" t="s">
        <v>74</v>
      </c>
      <c r="AG395">
        <v>6</v>
      </c>
      <c r="AH395">
        <v>0</v>
      </c>
      <c r="AI395">
        <v>0</v>
      </c>
      <c r="AJ395">
        <v>0</v>
      </c>
      <c r="AK395">
        <v>0</v>
      </c>
      <c r="AL395" t="s">
        <v>2530</v>
      </c>
      <c r="AM395" t="s">
        <v>214</v>
      </c>
      <c r="AN395" t="s">
        <v>2531</v>
      </c>
      <c r="AO395" t="s">
        <v>74</v>
      </c>
      <c r="AP395" t="s">
        <v>74</v>
      </c>
      <c r="AQ395" t="s">
        <v>4845</v>
      </c>
      <c r="AR395" t="s">
        <v>74</v>
      </c>
      <c r="AS395" t="s">
        <v>74</v>
      </c>
      <c r="AT395" t="s">
        <v>74</v>
      </c>
      <c r="AU395">
        <v>1998</v>
      </c>
      <c r="AV395" t="s">
        <v>74</v>
      </c>
      <c r="AW395" t="s">
        <v>74</v>
      </c>
      <c r="AX395" t="s">
        <v>74</v>
      </c>
      <c r="AY395" t="s">
        <v>74</v>
      </c>
      <c r="AZ395" t="s">
        <v>74</v>
      </c>
      <c r="BA395" t="s">
        <v>74</v>
      </c>
      <c r="BB395">
        <v>581</v>
      </c>
      <c r="BC395">
        <v>585</v>
      </c>
      <c r="BD395" t="s">
        <v>74</v>
      </c>
      <c r="BE395" t="s">
        <v>74</v>
      </c>
      <c r="BF395" t="s">
        <v>74</v>
      </c>
      <c r="BG395" t="s">
        <v>74</v>
      </c>
      <c r="BH395" t="s">
        <v>74</v>
      </c>
      <c r="BI395">
        <v>5</v>
      </c>
      <c r="BJ395" t="s">
        <v>4846</v>
      </c>
      <c r="BK395" t="s">
        <v>2189</v>
      </c>
      <c r="BL395" t="s">
        <v>4847</v>
      </c>
      <c r="BM395" t="s">
        <v>4848</v>
      </c>
      <c r="BN395" t="s">
        <v>74</v>
      </c>
      <c r="BO395" t="s">
        <v>74</v>
      </c>
      <c r="BP395" t="s">
        <v>74</v>
      </c>
      <c r="BQ395" t="s">
        <v>74</v>
      </c>
      <c r="BR395" t="s">
        <v>101</v>
      </c>
      <c r="BS395" t="s">
        <v>4849</v>
      </c>
      <c r="BT395" t="str">
        <f>HYPERLINK("https%3A%2F%2Fwww.webofscience.com%2Fwos%2Fwoscc%2Ffull-record%2FWOS:000079728100097","View Full Record in Web of Science")</f>
        <v>View Full Record in Web of Science</v>
      </c>
    </row>
    <row r="396" spans="1:72" x14ac:dyDescent="0.15">
      <c r="A396" t="s">
        <v>72</v>
      </c>
      <c r="B396" t="s">
        <v>4850</v>
      </c>
      <c r="C396" t="s">
        <v>74</v>
      </c>
      <c r="D396" t="s">
        <v>74</v>
      </c>
      <c r="E396" t="s">
        <v>74</v>
      </c>
      <c r="F396" t="s">
        <v>4850</v>
      </c>
      <c r="G396" t="s">
        <v>74</v>
      </c>
      <c r="H396" t="s">
        <v>74</v>
      </c>
      <c r="I396" t="s">
        <v>4851</v>
      </c>
      <c r="J396" t="s">
        <v>4852</v>
      </c>
      <c r="K396" t="s">
        <v>74</v>
      </c>
      <c r="L396" t="s">
        <v>74</v>
      </c>
      <c r="M396" t="s">
        <v>77</v>
      </c>
      <c r="N396" t="s">
        <v>78</v>
      </c>
      <c r="O396" t="s">
        <v>74</v>
      </c>
      <c r="P396" t="s">
        <v>74</v>
      </c>
      <c r="Q396" t="s">
        <v>74</v>
      </c>
      <c r="R396" t="s">
        <v>74</v>
      </c>
      <c r="S396" t="s">
        <v>74</v>
      </c>
      <c r="T396" t="s">
        <v>4853</v>
      </c>
      <c r="U396" t="s">
        <v>4854</v>
      </c>
      <c r="V396" t="s">
        <v>4855</v>
      </c>
      <c r="W396" t="s">
        <v>4856</v>
      </c>
      <c r="X396" t="s">
        <v>4857</v>
      </c>
      <c r="Y396" t="s">
        <v>4858</v>
      </c>
      <c r="Z396" t="s">
        <v>4859</v>
      </c>
      <c r="AA396" t="s">
        <v>74</v>
      </c>
      <c r="AB396" t="s">
        <v>74</v>
      </c>
      <c r="AC396" t="s">
        <v>74</v>
      </c>
      <c r="AD396" t="s">
        <v>74</v>
      </c>
      <c r="AE396" t="s">
        <v>74</v>
      </c>
      <c r="AF396" t="s">
        <v>74</v>
      </c>
      <c r="AG396">
        <v>22</v>
      </c>
      <c r="AH396">
        <v>20</v>
      </c>
      <c r="AI396">
        <v>24</v>
      </c>
      <c r="AJ396">
        <v>0</v>
      </c>
      <c r="AK396">
        <v>12</v>
      </c>
      <c r="AL396" t="s">
        <v>3956</v>
      </c>
      <c r="AM396" t="s">
        <v>3957</v>
      </c>
      <c r="AN396" t="s">
        <v>3958</v>
      </c>
      <c r="AO396" t="s">
        <v>4860</v>
      </c>
      <c r="AP396" t="s">
        <v>74</v>
      </c>
      <c r="AQ396" t="s">
        <v>74</v>
      </c>
      <c r="AR396" t="s">
        <v>4861</v>
      </c>
      <c r="AS396" t="s">
        <v>4862</v>
      </c>
      <c r="AT396" t="s">
        <v>74</v>
      </c>
      <c r="AU396">
        <v>1998</v>
      </c>
      <c r="AV396">
        <v>71</v>
      </c>
      <c r="AW396">
        <v>1</v>
      </c>
      <c r="AX396" t="s">
        <v>74</v>
      </c>
      <c r="AY396" t="s">
        <v>74</v>
      </c>
      <c r="AZ396" t="s">
        <v>74</v>
      </c>
      <c r="BA396" t="s">
        <v>74</v>
      </c>
      <c r="BB396">
        <v>41</v>
      </c>
      <c r="BC396">
        <v>56</v>
      </c>
      <c r="BD396" t="s">
        <v>74</v>
      </c>
      <c r="BE396" t="s">
        <v>4863</v>
      </c>
      <c r="BF396" t="str">
        <f>HYPERLINK("http://dx.doi.org/10.1080/03067319808032616","http://dx.doi.org/10.1080/03067319808032616")</f>
        <v>http://dx.doi.org/10.1080/03067319808032616</v>
      </c>
      <c r="BG396" t="s">
        <v>74</v>
      </c>
      <c r="BH396" t="s">
        <v>74</v>
      </c>
      <c r="BI396">
        <v>16</v>
      </c>
      <c r="BJ396" t="s">
        <v>4864</v>
      </c>
      <c r="BK396" t="s">
        <v>98</v>
      </c>
      <c r="BL396" t="s">
        <v>4865</v>
      </c>
      <c r="BM396" t="s">
        <v>4866</v>
      </c>
      <c r="BN396" t="s">
        <v>74</v>
      </c>
      <c r="BO396" t="s">
        <v>74</v>
      </c>
      <c r="BP396" t="s">
        <v>74</v>
      </c>
      <c r="BQ396" t="s">
        <v>74</v>
      </c>
      <c r="BR396" t="s">
        <v>101</v>
      </c>
      <c r="BS396" t="s">
        <v>4867</v>
      </c>
      <c r="BT396" t="str">
        <f>HYPERLINK("https%3A%2F%2Fwww.webofscience.com%2Fwos%2Fwoscc%2Ffull-record%2FWOS:000078543400003","View Full Record in Web of Science")</f>
        <v>View Full Record in Web of Science</v>
      </c>
    </row>
    <row r="397" spans="1:72" x14ac:dyDescent="0.15">
      <c r="A397" t="s">
        <v>72</v>
      </c>
      <c r="B397" t="s">
        <v>4868</v>
      </c>
      <c r="C397" t="s">
        <v>74</v>
      </c>
      <c r="D397" t="s">
        <v>74</v>
      </c>
      <c r="E397" t="s">
        <v>74</v>
      </c>
      <c r="F397" t="s">
        <v>4868</v>
      </c>
      <c r="G397" t="s">
        <v>74</v>
      </c>
      <c r="H397" t="s">
        <v>74</v>
      </c>
      <c r="I397" t="s">
        <v>4869</v>
      </c>
      <c r="J397" t="s">
        <v>4852</v>
      </c>
      <c r="K397" t="s">
        <v>74</v>
      </c>
      <c r="L397" t="s">
        <v>74</v>
      </c>
      <c r="M397" t="s">
        <v>77</v>
      </c>
      <c r="N397" t="s">
        <v>78</v>
      </c>
      <c r="O397" t="s">
        <v>74</v>
      </c>
      <c r="P397" t="s">
        <v>74</v>
      </c>
      <c r="Q397" t="s">
        <v>74</v>
      </c>
      <c r="R397" t="s">
        <v>74</v>
      </c>
      <c r="S397" t="s">
        <v>74</v>
      </c>
      <c r="T397" t="s">
        <v>4870</v>
      </c>
      <c r="U397" t="s">
        <v>4871</v>
      </c>
      <c r="V397" t="s">
        <v>4872</v>
      </c>
      <c r="W397" t="s">
        <v>4873</v>
      </c>
      <c r="X397" t="s">
        <v>4874</v>
      </c>
      <c r="Y397" t="s">
        <v>4875</v>
      </c>
      <c r="Z397" t="s">
        <v>74</v>
      </c>
      <c r="AA397" t="s">
        <v>4876</v>
      </c>
      <c r="AB397" t="s">
        <v>4877</v>
      </c>
      <c r="AC397" t="s">
        <v>74</v>
      </c>
      <c r="AD397" t="s">
        <v>74</v>
      </c>
      <c r="AE397" t="s">
        <v>74</v>
      </c>
      <c r="AF397" t="s">
        <v>74</v>
      </c>
      <c r="AG397">
        <v>73</v>
      </c>
      <c r="AH397">
        <v>28</v>
      </c>
      <c r="AI397">
        <v>31</v>
      </c>
      <c r="AJ397">
        <v>0</v>
      </c>
      <c r="AK397">
        <v>9</v>
      </c>
      <c r="AL397" t="s">
        <v>3956</v>
      </c>
      <c r="AM397" t="s">
        <v>3957</v>
      </c>
      <c r="AN397" t="s">
        <v>3958</v>
      </c>
      <c r="AO397" t="s">
        <v>4860</v>
      </c>
      <c r="AP397" t="s">
        <v>74</v>
      </c>
      <c r="AQ397" t="s">
        <v>74</v>
      </c>
      <c r="AR397" t="s">
        <v>4861</v>
      </c>
      <c r="AS397" t="s">
        <v>4862</v>
      </c>
      <c r="AT397" t="s">
        <v>74</v>
      </c>
      <c r="AU397">
        <v>1998</v>
      </c>
      <c r="AV397">
        <v>71</v>
      </c>
      <c r="AW397" t="s">
        <v>694</v>
      </c>
      <c r="AX397" t="s">
        <v>74</v>
      </c>
      <c r="AY397" t="s">
        <v>74</v>
      </c>
      <c r="AZ397" t="s">
        <v>74</v>
      </c>
      <c r="BA397" t="s">
        <v>74</v>
      </c>
      <c r="BB397">
        <v>195</v>
      </c>
      <c r="BC397">
        <v>226</v>
      </c>
      <c r="BD397" t="s">
        <v>74</v>
      </c>
      <c r="BE397" t="s">
        <v>4878</v>
      </c>
      <c r="BF397" t="str">
        <f>HYPERLINK("http://dx.doi.org/10.1080/03067319808032628","http://dx.doi.org/10.1080/03067319808032628")</f>
        <v>http://dx.doi.org/10.1080/03067319808032628</v>
      </c>
      <c r="BG397" t="s">
        <v>74</v>
      </c>
      <c r="BH397" t="s">
        <v>74</v>
      </c>
      <c r="BI397">
        <v>32</v>
      </c>
      <c r="BJ397" t="s">
        <v>4864</v>
      </c>
      <c r="BK397" t="s">
        <v>98</v>
      </c>
      <c r="BL397" t="s">
        <v>4865</v>
      </c>
      <c r="BM397" t="s">
        <v>4879</v>
      </c>
      <c r="BN397" t="s">
        <v>74</v>
      </c>
      <c r="BO397" t="s">
        <v>74</v>
      </c>
      <c r="BP397" t="s">
        <v>74</v>
      </c>
      <c r="BQ397" t="s">
        <v>74</v>
      </c>
      <c r="BR397" t="s">
        <v>101</v>
      </c>
      <c r="BS397" t="s">
        <v>4880</v>
      </c>
      <c r="BT397" t="str">
        <f>HYPERLINK("https%3A%2F%2Fwww.webofscience.com%2Fwos%2Fwoscc%2Ffull-record%2FWOS:000080750100001","View Full Record in Web of Science")</f>
        <v>View Full Record in Web of Science</v>
      </c>
    </row>
    <row r="398" spans="1:72" x14ac:dyDescent="0.15">
      <c r="A398" t="s">
        <v>72</v>
      </c>
      <c r="B398" t="s">
        <v>4881</v>
      </c>
      <c r="C398" t="s">
        <v>74</v>
      </c>
      <c r="D398" t="s">
        <v>74</v>
      </c>
      <c r="E398" t="s">
        <v>74</v>
      </c>
      <c r="F398" t="s">
        <v>4881</v>
      </c>
      <c r="G398" t="s">
        <v>74</v>
      </c>
      <c r="H398" t="s">
        <v>74</v>
      </c>
      <c r="I398" t="s">
        <v>4882</v>
      </c>
      <c r="J398" t="s">
        <v>4852</v>
      </c>
      <c r="K398" t="s">
        <v>74</v>
      </c>
      <c r="L398" t="s">
        <v>74</v>
      </c>
      <c r="M398" t="s">
        <v>77</v>
      </c>
      <c r="N398" t="s">
        <v>78</v>
      </c>
      <c r="O398" t="s">
        <v>74</v>
      </c>
      <c r="P398" t="s">
        <v>74</v>
      </c>
      <c r="Q398" t="s">
        <v>74</v>
      </c>
      <c r="R398" t="s">
        <v>74</v>
      </c>
      <c r="S398" t="s">
        <v>74</v>
      </c>
      <c r="T398" t="s">
        <v>4883</v>
      </c>
      <c r="U398" t="s">
        <v>4884</v>
      </c>
      <c r="V398" t="s">
        <v>4885</v>
      </c>
      <c r="W398" t="s">
        <v>4886</v>
      </c>
      <c r="X398" t="s">
        <v>4887</v>
      </c>
      <c r="Y398" t="s">
        <v>4888</v>
      </c>
      <c r="Z398" t="s">
        <v>74</v>
      </c>
      <c r="AA398" t="s">
        <v>4889</v>
      </c>
      <c r="AB398" t="s">
        <v>4890</v>
      </c>
      <c r="AC398" t="s">
        <v>74</v>
      </c>
      <c r="AD398" t="s">
        <v>74</v>
      </c>
      <c r="AE398" t="s">
        <v>74</v>
      </c>
      <c r="AF398" t="s">
        <v>74</v>
      </c>
      <c r="AG398">
        <v>33</v>
      </c>
      <c r="AH398">
        <v>4</v>
      </c>
      <c r="AI398">
        <v>4</v>
      </c>
      <c r="AJ398">
        <v>0</v>
      </c>
      <c r="AK398">
        <v>2</v>
      </c>
      <c r="AL398" t="s">
        <v>3956</v>
      </c>
      <c r="AM398" t="s">
        <v>3957</v>
      </c>
      <c r="AN398" t="s">
        <v>3958</v>
      </c>
      <c r="AO398" t="s">
        <v>4860</v>
      </c>
      <c r="AP398" t="s">
        <v>74</v>
      </c>
      <c r="AQ398" t="s">
        <v>74</v>
      </c>
      <c r="AR398" t="s">
        <v>4861</v>
      </c>
      <c r="AS398" t="s">
        <v>4862</v>
      </c>
      <c r="AT398" t="s">
        <v>74</v>
      </c>
      <c r="AU398">
        <v>1998</v>
      </c>
      <c r="AV398">
        <v>71</v>
      </c>
      <c r="AW398" t="s">
        <v>694</v>
      </c>
      <c r="AX398" t="s">
        <v>74</v>
      </c>
      <c r="AY398" t="s">
        <v>74</v>
      </c>
      <c r="AZ398" t="s">
        <v>74</v>
      </c>
      <c r="BA398" t="s">
        <v>74</v>
      </c>
      <c r="BB398">
        <v>265</v>
      </c>
      <c r="BC398">
        <v>287</v>
      </c>
      <c r="BD398" t="s">
        <v>74</v>
      </c>
      <c r="BE398" t="s">
        <v>4891</v>
      </c>
      <c r="BF398" t="str">
        <f>HYPERLINK("http://dx.doi.org/10.1080/03067319808032632","http://dx.doi.org/10.1080/03067319808032632")</f>
        <v>http://dx.doi.org/10.1080/03067319808032632</v>
      </c>
      <c r="BG398" t="s">
        <v>74</v>
      </c>
      <c r="BH398" t="s">
        <v>74</v>
      </c>
      <c r="BI398">
        <v>23</v>
      </c>
      <c r="BJ398" t="s">
        <v>4864</v>
      </c>
      <c r="BK398" t="s">
        <v>98</v>
      </c>
      <c r="BL398" t="s">
        <v>4865</v>
      </c>
      <c r="BM398" t="s">
        <v>4879</v>
      </c>
      <c r="BN398" t="s">
        <v>74</v>
      </c>
      <c r="BO398" t="s">
        <v>74</v>
      </c>
      <c r="BP398" t="s">
        <v>74</v>
      </c>
      <c r="BQ398" t="s">
        <v>74</v>
      </c>
      <c r="BR398" t="s">
        <v>101</v>
      </c>
      <c r="BS398" t="s">
        <v>4892</v>
      </c>
      <c r="BT398" t="str">
        <f>HYPERLINK("https%3A%2F%2Fwww.webofscience.com%2Fwos%2Fwoscc%2Ffull-record%2FWOS:000080750100005","View Full Record in Web of Science")</f>
        <v>View Full Record in Web of Science</v>
      </c>
    </row>
    <row r="399" spans="1:72" x14ac:dyDescent="0.15">
      <c r="A399" t="s">
        <v>72</v>
      </c>
      <c r="B399" t="s">
        <v>4893</v>
      </c>
      <c r="C399" t="s">
        <v>74</v>
      </c>
      <c r="D399" t="s">
        <v>74</v>
      </c>
      <c r="E399" t="s">
        <v>74</v>
      </c>
      <c r="F399" t="s">
        <v>4893</v>
      </c>
      <c r="G399" t="s">
        <v>74</v>
      </c>
      <c r="H399" t="s">
        <v>74</v>
      </c>
      <c r="I399" t="s">
        <v>4894</v>
      </c>
      <c r="J399" t="s">
        <v>4852</v>
      </c>
      <c r="K399" t="s">
        <v>74</v>
      </c>
      <c r="L399" t="s">
        <v>74</v>
      </c>
      <c r="M399" t="s">
        <v>77</v>
      </c>
      <c r="N399" t="s">
        <v>78</v>
      </c>
      <c r="O399" t="s">
        <v>74</v>
      </c>
      <c r="P399" t="s">
        <v>74</v>
      </c>
      <c r="Q399" t="s">
        <v>74</v>
      </c>
      <c r="R399" t="s">
        <v>74</v>
      </c>
      <c r="S399" t="s">
        <v>74</v>
      </c>
      <c r="T399" t="s">
        <v>4895</v>
      </c>
      <c r="U399" t="s">
        <v>4896</v>
      </c>
      <c r="V399" t="s">
        <v>4897</v>
      </c>
      <c r="W399" t="s">
        <v>3376</v>
      </c>
      <c r="X399" t="s">
        <v>3377</v>
      </c>
      <c r="Y399" t="s">
        <v>4898</v>
      </c>
      <c r="Z399" t="s">
        <v>74</v>
      </c>
      <c r="AA399" t="s">
        <v>4899</v>
      </c>
      <c r="AB399" t="s">
        <v>4900</v>
      </c>
      <c r="AC399" t="s">
        <v>74</v>
      </c>
      <c r="AD399" t="s">
        <v>74</v>
      </c>
      <c r="AE399" t="s">
        <v>74</v>
      </c>
      <c r="AF399" t="s">
        <v>74</v>
      </c>
      <c r="AG399">
        <v>18</v>
      </c>
      <c r="AH399">
        <v>0</v>
      </c>
      <c r="AI399">
        <v>0</v>
      </c>
      <c r="AJ399">
        <v>0</v>
      </c>
      <c r="AK399">
        <v>0</v>
      </c>
      <c r="AL399" t="s">
        <v>3956</v>
      </c>
      <c r="AM399" t="s">
        <v>3957</v>
      </c>
      <c r="AN399" t="s">
        <v>3958</v>
      </c>
      <c r="AO399" t="s">
        <v>4860</v>
      </c>
      <c r="AP399" t="s">
        <v>74</v>
      </c>
      <c r="AQ399" t="s">
        <v>74</v>
      </c>
      <c r="AR399" t="s">
        <v>4861</v>
      </c>
      <c r="AS399" t="s">
        <v>4862</v>
      </c>
      <c r="AT399" t="s">
        <v>74</v>
      </c>
      <c r="AU399">
        <v>1998</v>
      </c>
      <c r="AV399">
        <v>71</v>
      </c>
      <c r="AW399" t="s">
        <v>694</v>
      </c>
      <c r="AX399" t="s">
        <v>74</v>
      </c>
      <c r="AY399" t="s">
        <v>74</v>
      </c>
      <c r="AZ399" t="s">
        <v>74</v>
      </c>
      <c r="BA399" t="s">
        <v>74</v>
      </c>
      <c r="BB399">
        <v>297</v>
      </c>
      <c r="BC399">
        <v>309</v>
      </c>
      <c r="BD399" t="s">
        <v>74</v>
      </c>
      <c r="BE399" t="s">
        <v>4901</v>
      </c>
      <c r="BF399" t="str">
        <f>HYPERLINK("http://dx.doi.org/10.1080/03067319808032634","http://dx.doi.org/10.1080/03067319808032634")</f>
        <v>http://dx.doi.org/10.1080/03067319808032634</v>
      </c>
      <c r="BG399" t="s">
        <v>74</v>
      </c>
      <c r="BH399" t="s">
        <v>74</v>
      </c>
      <c r="BI399">
        <v>13</v>
      </c>
      <c r="BJ399" t="s">
        <v>4864</v>
      </c>
      <c r="BK399" t="s">
        <v>98</v>
      </c>
      <c r="BL399" t="s">
        <v>4865</v>
      </c>
      <c r="BM399" t="s">
        <v>4879</v>
      </c>
      <c r="BN399" t="s">
        <v>74</v>
      </c>
      <c r="BO399" t="s">
        <v>74</v>
      </c>
      <c r="BP399" t="s">
        <v>74</v>
      </c>
      <c r="BQ399" t="s">
        <v>74</v>
      </c>
      <c r="BR399" t="s">
        <v>101</v>
      </c>
      <c r="BS399" t="s">
        <v>4902</v>
      </c>
      <c r="BT399" t="str">
        <f>HYPERLINK("https%3A%2F%2Fwww.webofscience.com%2Fwos%2Fwoscc%2Ffull-record%2FWOS:000080750100007","View Full Record in Web of Science")</f>
        <v>View Full Record in Web of Science</v>
      </c>
    </row>
    <row r="400" spans="1:72" x14ac:dyDescent="0.15">
      <c r="A400" t="s">
        <v>72</v>
      </c>
      <c r="B400" t="s">
        <v>4903</v>
      </c>
      <c r="C400" t="s">
        <v>74</v>
      </c>
      <c r="D400" t="s">
        <v>74</v>
      </c>
      <c r="E400" t="s">
        <v>74</v>
      </c>
      <c r="F400" t="s">
        <v>4903</v>
      </c>
      <c r="G400" t="s">
        <v>74</v>
      </c>
      <c r="H400" t="s">
        <v>74</v>
      </c>
      <c r="I400" t="s">
        <v>4904</v>
      </c>
      <c r="J400" t="s">
        <v>4852</v>
      </c>
      <c r="K400" t="s">
        <v>74</v>
      </c>
      <c r="L400" t="s">
        <v>74</v>
      </c>
      <c r="M400" t="s">
        <v>77</v>
      </c>
      <c r="N400" t="s">
        <v>78</v>
      </c>
      <c r="O400" t="s">
        <v>74</v>
      </c>
      <c r="P400" t="s">
        <v>74</v>
      </c>
      <c r="Q400" t="s">
        <v>74</v>
      </c>
      <c r="R400" t="s">
        <v>74</v>
      </c>
      <c r="S400" t="s">
        <v>74</v>
      </c>
      <c r="T400" t="s">
        <v>4905</v>
      </c>
      <c r="U400" t="s">
        <v>4906</v>
      </c>
      <c r="V400" t="s">
        <v>4907</v>
      </c>
      <c r="W400" t="s">
        <v>4908</v>
      </c>
      <c r="X400" t="s">
        <v>4909</v>
      </c>
      <c r="Y400" t="s">
        <v>4910</v>
      </c>
      <c r="Z400" t="s">
        <v>4911</v>
      </c>
      <c r="AA400" t="s">
        <v>4912</v>
      </c>
      <c r="AB400" t="s">
        <v>4913</v>
      </c>
      <c r="AC400" t="s">
        <v>74</v>
      </c>
      <c r="AD400" t="s">
        <v>74</v>
      </c>
      <c r="AE400" t="s">
        <v>74</v>
      </c>
      <c r="AF400" t="s">
        <v>74</v>
      </c>
      <c r="AG400">
        <v>14</v>
      </c>
      <c r="AH400">
        <v>3</v>
      </c>
      <c r="AI400">
        <v>3</v>
      </c>
      <c r="AJ400">
        <v>0</v>
      </c>
      <c r="AK400">
        <v>1</v>
      </c>
      <c r="AL400" t="s">
        <v>2664</v>
      </c>
      <c r="AM400" t="s">
        <v>2665</v>
      </c>
      <c r="AN400" t="s">
        <v>2666</v>
      </c>
      <c r="AO400" t="s">
        <v>4860</v>
      </c>
      <c r="AP400" t="s">
        <v>4914</v>
      </c>
      <c r="AQ400" t="s">
        <v>74</v>
      </c>
      <c r="AR400" t="s">
        <v>4861</v>
      </c>
      <c r="AS400" t="s">
        <v>4862</v>
      </c>
      <c r="AT400" t="s">
        <v>74</v>
      </c>
      <c r="AU400">
        <v>1998</v>
      </c>
      <c r="AV400">
        <v>71</v>
      </c>
      <c r="AW400" t="s">
        <v>694</v>
      </c>
      <c r="AX400" t="s">
        <v>74</v>
      </c>
      <c r="AY400" t="s">
        <v>74</v>
      </c>
      <c r="AZ400" t="s">
        <v>74</v>
      </c>
      <c r="BA400" t="s">
        <v>74</v>
      </c>
      <c r="BB400">
        <v>311</v>
      </c>
      <c r="BC400">
        <v>319</v>
      </c>
      <c r="BD400" t="s">
        <v>74</v>
      </c>
      <c r="BE400" t="s">
        <v>74</v>
      </c>
      <c r="BF400" t="s">
        <v>74</v>
      </c>
      <c r="BG400" t="s">
        <v>74</v>
      </c>
      <c r="BH400" t="s">
        <v>74</v>
      </c>
      <c r="BI400">
        <v>9</v>
      </c>
      <c r="BJ400" t="s">
        <v>4864</v>
      </c>
      <c r="BK400" t="s">
        <v>98</v>
      </c>
      <c r="BL400" t="s">
        <v>4865</v>
      </c>
      <c r="BM400" t="s">
        <v>4879</v>
      </c>
      <c r="BN400" t="s">
        <v>74</v>
      </c>
      <c r="BO400" t="s">
        <v>74</v>
      </c>
      <c r="BP400" t="s">
        <v>74</v>
      </c>
      <c r="BQ400" t="s">
        <v>74</v>
      </c>
      <c r="BR400" t="s">
        <v>101</v>
      </c>
      <c r="BS400" t="s">
        <v>4915</v>
      </c>
      <c r="BT400" t="str">
        <f>HYPERLINK("https%3A%2F%2Fwww.webofscience.com%2Fwos%2Fwoscc%2Ffull-record%2FWOS:000080750100008","View Full Record in Web of Science")</f>
        <v>View Full Record in Web of Science</v>
      </c>
    </row>
    <row r="401" spans="1:72" x14ac:dyDescent="0.15">
      <c r="A401" t="s">
        <v>72</v>
      </c>
      <c r="B401" t="s">
        <v>4916</v>
      </c>
      <c r="C401" t="s">
        <v>74</v>
      </c>
      <c r="D401" t="s">
        <v>74</v>
      </c>
      <c r="E401" t="s">
        <v>74</v>
      </c>
      <c r="F401" t="s">
        <v>4916</v>
      </c>
      <c r="G401" t="s">
        <v>74</v>
      </c>
      <c r="H401" t="s">
        <v>74</v>
      </c>
      <c r="I401" t="s">
        <v>4917</v>
      </c>
      <c r="J401" t="s">
        <v>4852</v>
      </c>
      <c r="K401" t="s">
        <v>74</v>
      </c>
      <c r="L401" t="s">
        <v>74</v>
      </c>
      <c r="M401" t="s">
        <v>77</v>
      </c>
      <c r="N401" t="s">
        <v>78</v>
      </c>
      <c r="O401" t="s">
        <v>74</v>
      </c>
      <c r="P401" t="s">
        <v>74</v>
      </c>
      <c r="Q401" t="s">
        <v>74</v>
      </c>
      <c r="R401" t="s">
        <v>74</v>
      </c>
      <c r="S401" t="s">
        <v>74</v>
      </c>
      <c r="T401" t="s">
        <v>4918</v>
      </c>
      <c r="U401" t="s">
        <v>4919</v>
      </c>
      <c r="V401" t="s">
        <v>4920</v>
      </c>
      <c r="W401" t="s">
        <v>4921</v>
      </c>
      <c r="X401" t="s">
        <v>4887</v>
      </c>
      <c r="Y401" t="s">
        <v>4922</v>
      </c>
      <c r="Z401" t="s">
        <v>74</v>
      </c>
      <c r="AA401" t="s">
        <v>4899</v>
      </c>
      <c r="AB401" t="s">
        <v>4900</v>
      </c>
      <c r="AC401" t="s">
        <v>74</v>
      </c>
      <c r="AD401" t="s">
        <v>74</v>
      </c>
      <c r="AE401" t="s">
        <v>74</v>
      </c>
      <c r="AF401" t="s">
        <v>74</v>
      </c>
      <c r="AG401">
        <v>30</v>
      </c>
      <c r="AH401">
        <v>18</v>
      </c>
      <c r="AI401">
        <v>21</v>
      </c>
      <c r="AJ401">
        <v>0</v>
      </c>
      <c r="AK401">
        <v>10</v>
      </c>
      <c r="AL401" t="s">
        <v>3956</v>
      </c>
      <c r="AM401" t="s">
        <v>3957</v>
      </c>
      <c r="AN401" t="s">
        <v>3958</v>
      </c>
      <c r="AO401" t="s">
        <v>4860</v>
      </c>
      <c r="AP401" t="s">
        <v>74</v>
      </c>
      <c r="AQ401" t="s">
        <v>74</v>
      </c>
      <c r="AR401" t="s">
        <v>4861</v>
      </c>
      <c r="AS401" t="s">
        <v>4862</v>
      </c>
      <c r="AT401" t="s">
        <v>74</v>
      </c>
      <c r="AU401">
        <v>1998</v>
      </c>
      <c r="AV401">
        <v>71</v>
      </c>
      <c r="AW401" t="s">
        <v>694</v>
      </c>
      <c r="AX401" t="s">
        <v>74</v>
      </c>
      <c r="AY401" t="s">
        <v>74</v>
      </c>
      <c r="AZ401" t="s">
        <v>74</v>
      </c>
      <c r="BA401" t="s">
        <v>74</v>
      </c>
      <c r="BB401">
        <v>331</v>
      </c>
      <c r="BC401">
        <v>351</v>
      </c>
      <c r="BD401" t="s">
        <v>74</v>
      </c>
      <c r="BE401" t="s">
        <v>4923</v>
      </c>
      <c r="BF401" t="str">
        <f>HYPERLINK("http://dx.doi.org/10.1080/03067319808032637","http://dx.doi.org/10.1080/03067319808032637")</f>
        <v>http://dx.doi.org/10.1080/03067319808032637</v>
      </c>
      <c r="BG401" t="s">
        <v>74</v>
      </c>
      <c r="BH401" t="s">
        <v>74</v>
      </c>
      <c r="BI401">
        <v>21</v>
      </c>
      <c r="BJ401" t="s">
        <v>4864</v>
      </c>
      <c r="BK401" t="s">
        <v>98</v>
      </c>
      <c r="BL401" t="s">
        <v>4865</v>
      </c>
      <c r="BM401" t="s">
        <v>4879</v>
      </c>
      <c r="BN401" t="s">
        <v>74</v>
      </c>
      <c r="BO401" t="s">
        <v>74</v>
      </c>
      <c r="BP401" t="s">
        <v>74</v>
      </c>
      <c r="BQ401" t="s">
        <v>74</v>
      </c>
      <c r="BR401" t="s">
        <v>101</v>
      </c>
      <c r="BS401" t="s">
        <v>4924</v>
      </c>
      <c r="BT401" t="str">
        <f>HYPERLINK("https%3A%2F%2Fwww.webofscience.com%2Fwos%2Fwoscc%2Ffull-record%2FWOS:000080750100010","View Full Record in Web of Science")</f>
        <v>View Full Record in Web of Science</v>
      </c>
    </row>
    <row r="402" spans="1:72" x14ac:dyDescent="0.15">
      <c r="A402" t="s">
        <v>72</v>
      </c>
      <c r="B402" t="s">
        <v>4925</v>
      </c>
      <c r="C402" t="s">
        <v>74</v>
      </c>
      <c r="D402" t="s">
        <v>74</v>
      </c>
      <c r="E402" t="s">
        <v>74</v>
      </c>
      <c r="F402" t="s">
        <v>4925</v>
      </c>
      <c r="G402" t="s">
        <v>74</v>
      </c>
      <c r="H402" t="s">
        <v>74</v>
      </c>
      <c r="I402" t="s">
        <v>4926</v>
      </c>
      <c r="J402" t="s">
        <v>4852</v>
      </c>
      <c r="K402" t="s">
        <v>74</v>
      </c>
      <c r="L402" t="s">
        <v>74</v>
      </c>
      <c r="M402" t="s">
        <v>77</v>
      </c>
      <c r="N402" t="s">
        <v>78</v>
      </c>
      <c r="O402" t="s">
        <v>74</v>
      </c>
      <c r="P402" t="s">
        <v>74</v>
      </c>
      <c r="Q402" t="s">
        <v>74</v>
      </c>
      <c r="R402" t="s">
        <v>74</v>
      </c>
      <c r="S402" t="s">
        <v>74</v>
      </c>
      <c r="T402" t="s">
        <v>4927</v>
      </c>
      <c r="U402" t="s">
        <v>4928</v>
      </c>
      <c r="V402" t="s">
        <v>4929</v>
      </c>
      <c r="W402" t="s">
        <v>4930</v>
      </c>
      <c r="X402" t="s">
        <v>4931</v>
      </c>
      <c r="Y402" t="s">
        <v>4932</v>
      </c>
      <c r="Z402" t="s">
        <v>74</v>
      </c>
      <c r="AA402" t="s">
        <v>4933</v>
      </c>
      <c r="AB402" t="s">
        <v>74</v>
      </c>
      <c r="AC402" t="s">
        <v>74</v>
      </c>
      <c r="AD402" t="s">
        <v>74</v>
      </c>
      <c r="AE402" t="s">
        <v>74</v>
      </c>
      <c r="AF402" t="s">
        <v>74</v>
      </c>
      <c r="AG402">
        <v>26</v>
      </c>
      <c r="AH402">
        <v>46</v>
      </c>
      <c r="AI402">
        <v>49</v>
      </c>
      <c r="AJ402">
        <v>0</v>
      </c>
      <c r="AK402">
        <v>6</v>
      </c>
      <c r="AL402" t="s">
        <v>3956</v>
      </c>
      <c r="AM402" t="s">
        <v>3957</v>
      </c>
      <c r="AN402" t="s">
        <v>3958</v>
      </c>
      <c r="AO402" t="s">
        <v>4860</v>
      </c>
      <c r="AP402" t="s">
        <v>74</v>
      </c>
      <c r="AQ402" t="s">
        <v>74</v>
      </c>
      <c r="AR402" t="s">
        <v>4861</v>
      </c>
      <c r="AS402" t="s">
        <v>4862</v>
      </c>
      <c r="AT402" t="s">
        <v>74</v>
      </c>
      <c r="AU402">
        <v>1998</v>
      </c>
      <c r="AV402">
        <v>71</v>
      </c>
      <c r="AW402" t="s">
        <v>694</v>
      </c>
      <c r="AX402" t="s">
        <v>74</v>
      </c>
      <c r="AY402" t="s">
        <v>74</v>
      </c>
      <c r="AZ402" t="s">
        <v>74</v>
      </c>
      <c r="BA402" t="s">
        <v>74</v>
      </c>
      <c r="BB402">
        <v>353</v>
      </c>
      <c r="BC402">
        <v>372</v>
      </c>
      <c r="BD402" t="s">
        <v>74</v>
      </c>
      <c r="BE402" t="s">
        <v>4934</v>
      </c>
      <c r="BF402" t="str">
        <f>HYPERLINK("http://dx.doi.org/10.1080/03067319808032638","http://dx.doi.org/10.1080/03067319808032638")</f>
        <v>http://dx.doi.org/10.1080/03067319808032638</v>
      </c>
      <c r="BG402" t="s">
        <v>74</v>
      </c>
      <c r="BH402" t="s">
        <v>74</v>
      </c>
      <c r="BI402">
        <v>20</v>
      </c>
      <c r="BJ402" t="s">
        <v>4864</v>
      </c>
      <c r="BK402" t="s">
        <v>98</v>
      </c>
      <c r="BL402" t="s">
        <v>4865</v>
      </c>
      <c r="BM402" t="s">
        <v>4879</v>
      </c>
      <c r="BN402" t="s">
        <v>74</v>
      </c>
      <c r="BO402" t="s">
        <v>74</v>
      </c>
      <c r="BP402" t="s">
        <v>74</v>
      </c>
      <c r="BQ402" t="s">
        <v>74</v>
      </c>
      <c r="BR402" t="s">
        <v>101</v>
      </c>
      <c r="BS402" t="s">
        <v>4935</v>
      </c>
      <c r="BT402" t="str">
        <f>HYPERLINK("https%3A%2F%2Fwww.webofscience.com%2Fwos%2Fwoscc%2Ffull-record%2FWOS:000080750100011","View Full Record in Web of Science")</f>
        <v>View Full Record in Web of Science</v>
      </c>
    </row>
    <row r="403" spans="1:72" x14ac:dyDescent="0.15">
      <c r="A403" t="s">
        <v>72</v>
      </c>
      <c r="B403" t="s">
        <v>4936</v>
      </c>
      <c r="C403" t="s">
        <v>74</v>
      </c>
      <c r="D403" t="s">
        <v>74</v>
      </c>
      <c r="E403" t="s">
        <v>74</v>
      </c>
      <c r="F403" t="s">
        <v>4936</v>
      </c>
      <c r="G403" t="s">
        <v>74</v>
      </c>
      <c r="H403" t="s">
        <v>74</v>
      </c>
      <c r="I403" t="s">
        <v>4937</v>
      </c>
      <c r="J403" t="s">
        <v>4938</v>
      </c>
      <c r="K403" t="s">
        <v>74</v>
      </c>
      <c r="L403" t="s">
        <v>74</v>
      </c>
      <c r="M403" t="s">
        <v>77</v>
      </c>
      <c r="N403" t="s">
        <v>78</v>
      </c>
      <c r="O403" t="s">
        <v>74</v>
      </c>
      <c r="P403" t="s">
        <v>74</v>
      </c>
      <c r="Q403" t="s">
        <v>74</v>
      </c>
      <c r="R403" t="s">
        <v>74</v>
      </c>
      <c r="S403" t="s">
        <v>74</v>
      </c>
      <c r="T403" t="s">
        <v>4939</v>
      </c>
      <c r="U403" t="s">
        <v>4940</v>
      </c>
      <c r="V403" t="s">
        <v>4941</v>
      </c>
      <c r="W403" t="s">
        <v>4942</v>
      </c>
      <c r="X403" t="s">
        <v>4943</v>
      </c>
      <c r="Y403" t="s">
        <v>4944</v>
      </c>
      <c r="Z403" t="s">
        <v>4945</v>
      </c>
      <c r="AA403" t="s">
        <v>74</v>
      </c>
      <c r="AB403" t="s">
        <v>74</v>
      </c>
      <c r="AC403" t="s">
        <v>4946</v>
      </c>
      <c r="AD403" t="s">
        <v>4947</v>
      </c>
      <c r="AE403" t="s">
        <v>74</v>
      </c>
      <c r="AF403" t="s">
        <v>74</v>
      </c>
      <c r="AG403">
        <v>40</v>
      </c>
      <c r="AH403">
        <v>220</v>
      </c>
      <c r="AI403">
        <v>231</v>
      </c>
      <c r="AJ403">
        <v>2</v>
      </c>
      <c r="AK403">
        <v>23</v>
      </c>
      <c r="AL403" t="s">
        <v>4948</v>
      </c>
      <c r="AM403" t="s">
        <v>3957</v>
      </c>
      <c r="AN403" t="s">
        <v>4949</v>
      </c>
      <c r="AO403" t="s">
        <v>4950</v>
      </c>
      <c r="AP403" t="s">
        <v>74</v>
      </c>
      <c r="AQ403" t="s">
        <v>74</v>
      </c>
      <c r="AR403" t="s">
        <v>4951</v>
      </c>
      <c r="AS403" t="s">
        <v>4952</v>
      </c>
      <c r="AT403" t="s">
        <v>2502</v>
      </c>
      <c r="AU403">
        <v>1998</v>
      </c>
      <c r="AV403">
        <v>48</v>
      </c>
      <c r="AW403" t="s">
        <v>74</v>
      </c>
      <c r="AX403">
        <v>1</v>
      </c>
      <c r="AY403" t="s">
        <v>74</v>
      </c>
      <c r="AZ403" t="s">
        <v>74</v>
      </c>
      <c r="BA403" t="s">
        <v>74</v>
      </c>
      <c r="BB403">
        <v>223</v>
      </c>
      <c r="BC403">
        <v>235</v>
      </c>
      <c r="BD403" t="s">
        <v>74</v>
      </c>
      <c r="BE403" t="s">
        <v>4953</v>
      </c>
      <c r="BF403" t="str">
        <f>HYPERLINK("http://dx.doi.org/10.1099/00207713-48-1-223","http://dx.doi.org/10.1099/00207713-48-1-223")</f>
        <v>http://dx.doi.org/10.1099/00207713-48-1-223</v>
      </c>
      <c r="BG403" t="s">
        <v>74</v>
      </c>
      <c r="BH403" t="s">
        <v>74</v>
      </c>
      <c r="BI403">
        <v>13</v>
      </c>
      <c r="BJ403" t="s">
        <v>1223</v>
      </c>
      <c r="BK403" t="s">
        <v>98</v>
      </c>
      <c r="BL403" t="s">
        <v>1223</v>
      </c>
      <c r="BM403" t="s">
        <v>4954</v>
      </c>
      <c r="BN403">
        <v>9542092</v>
      </c>
      <c r="BO403" t="s">
        <v>100</v>
      </c>
      <c r="BP403" t="s">
        <v>74</v>
      </c>
      <c r="BQ403" t="s">
        <v>74</v>
      </c>
      <c r="BR403" t="s">
        <v>101</v>
      </c>
      <c r="BS403" t="s">
        <v>4955</v>
      </c>
      <c r="BT403" t="str">
        <f>HYPERLINK("https%3A%2F%2Fwww.webofscience.com%2Fwos%2Fwoscc%2Ffull-record%2FWOS:000072711200024","View Full Record in Web of Science")</f>
        <v>View Full Record in Web of Science</v>
      </c>
    </row>
    <row r="404" spans="1:72" x14ac:dyDescent="0.15">
      <c r="A404" t="s">
        <v>72</v>
      </c>
      <c r="B404" t="s">
        <v>4956</v>
      </c>
      <c r="C404" t="s">
        <v>74</v>
      </c>
      <c r="D404" t="s">
        <v>74</v>
      </c>
      <c r="E404" t="s">
        <v>74</v>
      </c>
      <c r="F404" t="s">
        <v>4956</v>
      </c>
      <c r="G404" t="s">
        <v>74</v>
      </c>
      <c r="H404" t="s">
        <v>74</v>
      </c>
      <c r="I404" t="s">
        <v>4957</v>
      </c>
      <c r="J404" t="s">
        <v>4958</v>
      </c>
      <c r="K404" t="s">
        <v>74</v>
      </c>
      <c r="L404" t="s">
        <v>74</v>
      </c>
      <c r="M404" t="s">
        <v>77</v>
      </c>
      <c r="N404" t="s">
        <v>78</v>
      </c>
      <c r="O404" t="s">
        <v>74</v>
      </c>
      <c r="P404" t="s">
        <v>74</v>
      </c>
      <c r="Q404" t="s">
        <v>74</v>
      </c>
      <c r="R404" t="s">
        <v>74</v>
      </c>
      <c r="S404" t="s">
        <v>74</v>
      </c>
      <c r="T404" t="s">
        <v>4959</v>
      </c>
      <c r="U404" t="s">
        <v>4960</v>
      </c>
      <c r="V404" t="s">
        <v>4961</v>
      </c>
      <c r="W404" t="s">
        <v>4962</v>
      </c>
      <c r="X404" t="s">
        <v>4963</v>
      </c>
      <c r="Y404" t="s">
        <v>4964</v>
      </c>
      <c r="Z404" t="s">
        <v>4965</v>
      </c>
      <c r="AA404" t="s">
        <v>74</v>
      </c>
      <c r="AB404" t="s">
        <v>74</v>
      </c>
      <c r="AC404" t="s">
        <v>74</v>
      </c>
      <c r="AD404" t="s">
        <v>74</v>
      </c>
      <c r="AE404" t="s">
        <v>74</v>
      </c>
      <c r="AF404" t="s">
        <v>74</v>
      </c>
      <c r="AG404">
        <v>45</v>
      </c>
      <c r="AH404">
        <v>39</v>
      </c>
      <c r="AI404">
        <v>39</v>
      </c>
      <c r="AJ404">
        <v>0</v>
      </c>
      <c r="AK404">
        <v>10</v>
      </c>
      <c r="AL404" t="s">
        <v>4966</v>
      </c>
      <c r="AM404" t="s">
        <v>590</v>
      </c>
      <c r="AN404" t="s">
        <v>4967</v>
      </c>
      <c r="AO404" t="s">
        <v>4968</v>
      </c>
      <c r="AP404" t="s">
        <v>74</v>
      </c>
      <c r="AQ404" t="s">
        <v>74</v>
      </c>
      <c r="AR404" t="s">
        <v>4969</v>
      </c>
      <c r="AS404" t="s">
        <v>4970</v>
      </c>
      <c r="AT404" t="s">
        <v>74</v>
      </c>
      <c r="AU404">
        <v>1998</v>
      </c>
      <c r="AV404">
        <v>117</v>
      </c>
      <c r="AW404">
        <v>4</v>
      </c>
      <c r="AX404" t="s">
        <v>74</v>
      </c>
      <c r="AY404" t="s">
        <v>74</v>
      </c>
      <c r="AZ404" t="s">
        <v>74</v>
      </c>
      <c r="BA404" t="s">
        <v>74</v>
      </c>
      <c r="BB404">
        <v>331</v>
      </c>
      <c r="BC404">
        <v>340</v>
      </c>
      <c r="BD404" t="s">
        <v>74</v>
      </c>
      <c r="BE404" t="s">
        <v>4971</v>
      </c>
      <c r="BF404" t="str">
        <f>HYPERLINK("http://dx.doi.org/10.2307/3227035","http://dx.doi.org/10.2307/3227035")</f>
        <v>http://dx.doi.org/10.2307/3227035</v>
      </c>
      <c r="BG404" t="s">
        <v>74</v>
      </c>
      <c r="BH404" t="s">
        <v>74</v>
      </c>
      <c r="BI404">
        <v>10</v>
      </c>
      <c r="BJ404" t="s">
        <v>1087</v>
      </c>
      <c r="BK404" t="s">
        <v>98</v>
      </c>
      <c r="BL404" t="s">
        <v>1087</v>
      </c>
      <c r="BM404" t="s">
        <v>4972</v>
      </c>
      <c r="BN404" t="s">
        <v>74</v>
      </c>
      <c r="BO404" t="s">
        <v>74</v>
      </c>
      <c r="BP404" t="s">
        <v>74</v>
      </c>
      <c r="BQ404" t="s">
        <v>74</v>
      </c>
      <c r="BR404" t="s">
        <v>101</v>
      </c>
      <c r="BS404" t="s">
        <v>4973</v>
      </c>
      <c r="BT404" t="str">
        <f>HYPERLINK("https%3A%2F%2Fwww.webofscience.com%2Fwos%2Fwoscc%2Ffull-record%2FWOS:000077451200008","View Full Record in Web of Science")</f>
        <v>View Full Record in Web of Science</v>
      </c>
    </row>
    <row r="405" spans="1:72" x14ac:dyDescent="0.15">
      <c r="A405" t="s">
        <v>72</v>
      </c>
      <c r="B405" t="s">
        <v>4974</v>
      </c>
      <c r="C405" t="s">
        <v>74</v>
      </c>
      <c r="D405" t="s">
        <v>74</v>
      </c>
      <c r="E405" t="s">
        <v>74</v>
      </c>
      <c r="F405" t="s">
        <v>4974</v>
      </c>
      <c r="G405" t="s">
        <v>74</v>
      </c>
      <c r="H405" t="s">
        <v>74</v>
      </c>
      <c r="I405" t="s">
        <v>4975</v>
      </c>
      <c r="J405" t="s">
        <v>4976</v>
      </c>
      <c r="K405" t="s">
        <v>74</v>
      </c>
      <c r="L405" t="s">
        <v>74</v>
      </c>
      <c r="M405" t="s">
        <v>4428</v>
      </c>
      <c r="N405" t="s">
        <v>78</v>
      </c>
      <c r="O405" t="s">
        <v>74</v>
      </c>
      <c r="P405" t="s">
        <v>74</v>
      </c>
      <c r="Q405" t="s">
        <v>74</v>
      </c>
      <c r="R405" t="s">
        <v>74</v>
      </c>
      <c r="S405" t="s">
        <v>74</v>
      </c>
      <c r="T405" t="s">
        <v>74</v>
      </c>
      <c r="U405" t="s">
        <v>4977</v>
      </c>
      <c r="V405" t="s">
        <v>4978</v>
      </c>
      <c r="W405" t="s">
        <v>4979</v>
      </c>
      <c r="X405" t="s">
        <v>4980</v>
      </c>
      <c r="Y405" t="s">
        <v>4981</v>
      </c>
      <c r="Z405" t="s">
        <v>74</v>
      </c>
      <c r="AA405" t="s">
        <v>4982</v>
      </c>
      <c r="AB405" t="s">
        <v>74</v>
      </c>
      <c r="AC405" t="s">
        <v>74</v>
      </c>
      <c r="AD405" t="s">
        <v>74</v>
      </c>
      <c r="AE405" t="s">
        <v>74</v>
      </c>
      <c r="AF405" t="s">
        <v>74</v>
      </c>
      <c r="AG405">
        <v>24</v>
      </c>
      <c r="AH405">
        <v>2</v>
      </c>
      <c r="AI405">
        <v>2</v>
      </c>
      <c r="AJ405">
        <v>0</v>
      </c>
      <c r="AK405">
        <v>2</v>
      </c>
      <c r="AL405" t="s">
        <v>4431</v>
      </c>
      <c r="AM405" t="s">
        <v>4432</v>
      </c>
      <c r="AN405" t="s">
        <v>4983</v>
      </c>
      <c r="AO405" t="s">
        <v>4984</v>
      </c>
      <c r="AP405" t="s">
        <v>74</v>
      </c>
      <c r="AQ405" t="s">
        <v>74</v>
      </c>
      <c r="AR405" t="s">
        <v>4985</v>
      </c>
      <c r="AS405" t="s">
        <v>4986</v>
      </c>
      <c r="AT405" t="s">
        <v>4291</v>
      </c>
      <c r="AU405">
        <v>1998</v>
      </c>
      <c r="AV405">
        <v>34</v>
      </c>
      <c r="AW405">
        <v>1</v>
      </c>
      <c r="AX405" t="s">
        <v>74</v>
      </c>
      <c r="AY405" t="s">
        <v>74</v>
      </c>
      <c r="AZ405" t="s">
        <v>74</v>
      </c>
      <c r="BA405" t="s">
        <v>74</v>
      </c>
      <c r="BB405">
        <v>51</v>
      </c>
      <c r="BC405">
        <v>58</v>
      </c>
      <c r="BD405" t="s">
        <v>74</v>
      </c>
      <c r="BE405" t="s">
        <v>74</v>
      </c>
      <c r="BF405" t="s">
        <v>74</v>
      </c>
      <c r="BG405" t="s">
        <v>74</v>
      </c>
      <c r="BH405" t="s">
        <v>74</v>
      </c>
      <c r="BI405">
        <v>8</v>
      </c>
      <c r="BJ405" t="s">
        <v>4987</v>
      </c>
      <c r="BK405" t="s">
        <v>98</v>
      </c>
      <c r="BL405" t="s">
        <v>4987</v>
      </c>
      <c r="BM405" t="s">
        <v>4988</v>
      </c>
      <c r="BN405" t="s">
        <v>74</v>
      </c>
      <c r="BO405" t="s">
        <v>74</v>
      </c>
      <c r="BP405" t="s">
        <v>74</v>
      </c>
      <c r="BQ405" t="s">
        <v>74</v>
      </c>
      <c r="BR405" t="s">
        <v>101</v>
      </c>
      <c r="BS405" t="s">
        <v>4989</v>
      </c>
      <c r="BT405" t="str">
        <f>HYPERLINK("https%3A%2F%2Fwww.webofscience.com%2Fwos%2Fwoscc%2Ffull-record%2FWOS:000072514100007","View Full Record in Web of Science")</f>
        <v>View Full Record in Web of Science</v>
      </c>
    </row>
    <row r="406" spans="1:72" x14ac:dyDescent="0.15">
      <c r="A406" t="s">
        <v>72</v>
      </c>
      <c r="B406" t="s">
        <v>4990</v>
      </c>
      <c r="C406" t="s">
        <v>74</v>
      </c>
      <c r="D406" t="s">
        <v>74</v>
      </c>
      <c r="E406" t="s">
        <v>74</v>
      </c>
      <c r="F406" t="s">
        <v>4990</v>
      </c>
      <c r="G406" t="s">
        <v>74</v>
      </c>
      <c r="H406" t="s">
        <v>74</v>
      </c>
      <c r="I406" t="s">
        <v>4991</v>
      </c>
      <c r="J406" t="s">
        <v>602</v>
      </c>
      <c r="K406" t="s">
        <v>74</v>
      </c>
      <c r="L406" t="s">
        <v>74</v>
      </c>
      <c r="M406" t="s">
        <v>77</v>
      </c>
      <c r="N406" t="s">
        <v>78</v>
      </c>
      <c r="O406" t="s">
        <v>74</v>
      </c>
      <c r="P406" t="s">
        <v>74</v>
      </c>
      <c r="Q406" t="s">
        <v>74</v>
      </c>
      <c r="R406" t="s">
        <v>74</v>
      </c>
      <c r="S406" t="s">
        <v>74</v>
      </c>
      <c r="T406" t="s">
        <v>74</v>
      </c>
      <c r="U406" t="s">
        <v>4992</v>
      </c>
      <c r="V406" t="s">
        <v>4993</v>
      </c>
      <c r="W406" t="s">
        <v>4994</v>
      </c>
      <c r="X406" t="s">
        <v>4995</v>
      </c>
      <c r="Y406" t="s">
        <v>4996</v>
      </c>
      <c r="Z406" t="s">
        <v>4997</v>
      </c>
      <c r="AA406" t="s">
        <v>74</v>
      </c>
      <c r="AB406" t="s">
        <v>74</v>
      </c>
      <c r="AC406" t="s">
        <v>74</v>
      </c>
      <c r="AD406" t="s">
        <v>74</v>
      </c>
      <c r="AE406" t="s">
        <v>74</v>
      </c>
      <c r="AF406" t="s">
        <v>74</v>
      </c>
      <c r="AG406">
        <v>35</v>
      </c>
      <c r="AH406">
        <v>20</v>
      </c>
      <c r="AI406">
        <v>20</v>
      </c>
      <c r="AJ406">
        <v>0</v>
      </c>
      <c r="AK406">
        <v>2</v>
      </c>
      <c r="AL406" t="s">
        <v>451</v>
      </c>
      <c r="AM406" t="s">
        <v>214</v>
      </c>
      <c r="AN406" t="s">
        <v>452</v>
      </c>
      <c r="AO406" t="s">
        <v>610</v>
      </c>
      <c r="AP406" t="s">
        <v>74</v>
      </c>
      <c r="AQ406" t="s">
        <v>74</v>
      </c>
      <c r="AR406" t="s">
        <v>611</v>
      </c>
      <c r="AS406" t="s">
        <v>612</v>
      </c>
      <c r="AT406" t="s">
        <v>2502</v>
      </c>
      <c r="AU406">
        <v>1998</v>
      </c>
      <c r="AV406">
        <v>60</v>
      </c>
      <c r="AW406">
        <v>2</v>
      </c>
      <c r="AX406" t="s">
        <v>74</v>
      </c>
      <c r="AY406" t="s">
        <v>74</v>
      </c>
      <c r="AZ406" t="s">
        <v>74</v>
      </c>
      <c r="BA406" t="s">
        <v>74</v>
      </c>
      <c r="BB406">
        <v>263</v>
      </c>
      <c r="BC406">
        <v>277</v>
      </c>
      <c r="BD406" t="s">
        <v>74</v>
      </c>
      <c r="BE406" t="s">
        <v>4998</v>
      </c>
      <c r="BF406" t="str">
        <f>HYPERLINK("http://dx.doi.org/10.1016/S1364-6826(97)00057-6","http://dx.doi.org/10.1016/S1364-6826(97)00057-6")</f>
        <v>http://dx.doi.org/10.1016/S1364-6826(97)00057-6</v>
      </c>
      <c r="BG406" t="s">
        <v>74</v>
      </c>
      <c r="BH406" t="s">
        <v>74</v>
      </c>
      <c r="BI406">
        <v>15</v>
      </c>
      <c r="BJ406" t="s">
        <v>614</v>
      </c>
      <c r="BK406" t="s">
        <v>98</v>
      </c>
      <c r="BL406" t="s">
        <v>614</v>
      </c>
      <c r="BM406" t="s">
        <v>4999</v>
      </c>
      <c r="BN406" t="s">
        <v>74</v>
      </c>
      <c r="BO406" t="s">
        <v>74</v>
      </c>
      <c r="BP406" t="s">
        <v>74</v>
      </c>
      <c r="BQ406" t="s">
        <v>74</v>
      </c>
      <c r="BR406" t="s">
        <v>101</v>
      </c>
      <c r="BS406" t="s">
        <v>5000</v>
      </c>
      <c r="BT406" t="str">
        <f>HYPERLINK("https%3A%2F%2Fwww.webofscience.com%2Fwos%2Fwoscc%2Ffull-record%2FWOS:000072892700009","View Full Record in Web of Science")</f>
        <v>View Full Record in Web of Science</v>
      </c>
    </row>
    <row r="407" spans="1:72" x14ac:dyDescent="0.15">
      <c r="A407" t="s">
        <v>72</v>
      </c>
      <c r="B407" t="s">
        <v>5001</v>
      </c>
      <c r="C407" t="s">
        <v>74</v>
      </c>
      <c r="D407" t="s">
        <v>74</v>
      </c>
      <c r="E407" t="s">
        <v>74</v>
      </c>
      <c r="F407" t="s">
        <v>5001</v>
      </c>
      <c r="G407" t="s">
        <v>74</v>
      </c>
      <c r="H407" t="s">
        <v>74</v>
      </c>
      <c r="I407" t="s">
        <v>5002</v>
      </c>
      <c r="J407" t="s">
        <v>5003</v>
      </c>
      <c r="K407" t="s">
        <v>74</v>
      </c>
      <c r="L407" t="s">
        <v>74</v>
      </c>
      <c r="M407" t="s">
        <v>77</v>
      </c>
      <c r="N407" t="s">
        <v>78</v>
      </c>
      <c r="O407" t="s">
        <v>74</v>
      </c>
      <c r="P407" t="s">
        <v>74</v>
      </c>
      <c r="Q407" t="s">
        <v>74</v>
      </c>
      <c r="R407" t="s">
        <v>74</v>
      </c>
      <c r="S407" t="s">
        <v>74</v>
      </c>
      <c r="T407" t="s">
        <v>5004</v>
      </c>
      <c r="U407" t="s">
        <v>5005</v>
      </c>
      <c r="V407" t="s">
        <v>5006</v>
      </c>
      <c r="W407" t="s">
        <v>5007</v>
      </c>
      <c r="X407" t="s">
        <v>5008</v>
      </c>
      <c r="Y407" t="s">
        <v>5009</v>
      </c>
      <c r="Z407" t="s">
        <v>74</v>
      </c>
      <c r="AA407" t="s">
        <v>5010</v>
      </c>
      <c r="AB407" t="s">
        <v>5011</v>
      </c>
      <c r="AC407" t="s">
        <v>74</v>
      </c>
      <c r="AD407" t="s">
        <v>74</v>
      </c>
      <c r="AE407" t="s">
        <v>74</v>
      </c>
      <c r="AF407" t="s">
        <v>74</v>
      </c>
      <c r="AG407">
        <v>35</v>
      </c>
      <c r="AH407">
        <v>56</v>
      </c>
      <c r="AI407">
        <v>58</v>
      </c>
      <c r="AJ407">
        <v>1</v>
      </c>
      <c r="AK407">
        <v>6</v>
      </c>
      <c r="AL407" t="s">
        <v>914</v>
      </c>
      <c r="AM407" t="s">
        <v>855</v>
      </c>
      <c r="AN407" t="s">
        <v>1718</v>
      </c>
      <c r="AO407" t="s">
        <v>5012</v>
      </c>
      <c r="AP407" t="s">
        <v>5013</v>
      </c>
      <c r="AQ407" t="s">
        <v>74</v>
      </c>
      <c r="AR407" t="s">
        <v>5014</v>
      </c>
      <c r="AS407" t="s">
        <v>5015</v>
      </c>
      <c r="AT407" t="s">
        <v>2502</v>
      </c>
      <c r="AU407">
        <v>1998</v>
      </c>
      <c r="AV407">
        <v>29</v>
      </c>
      <c r="AW407">
        <v>1</v>
      </c>
      <c r="AX407" t="s">
        <v>74</v>
      </c>
      <c r="AY407" t="s">
        <v>74</v>
      </c>
      <c r="AZ407" t="s">
        <v>74</v>
      </c>
      <c r="BA407" t="s">
        <v>74</v>
      </c>
      <c r="BB407">
        <v>55</v>
      </c>
      <c r="BC407">
        <v>83</v>
      </c>
      <c r="BD407" t="s">
        <v>74</v>
      </c>
      <c r="BE407" t="s">
        <v>5016</v>
      </c>
      <c r="BF407" t="str">
        <f>HYPERLINK("http://dx.doi.org/10.1023/A:1005815902581","http://dx.doi.org/10.1023/A:1005815902581")</f>
        <v>http://dx.doi.org/10.1023/A:1005815902581</v>
      </c>
      <c r="BG407" t="s">
        <v>74</v>
      </c>
      <c r="BH407" t="s">
        <v>74</v>
      </c>
      <c r="BI407">
        <v>29</v>
      </c>
      <c r="BJ407" t="s">
        <v>5017</v>
      </c>
      <c r="BK407" t="s">
        <v>98</v>
      </c>
      <c r="BL407" t="s">
        <v>5018</v>
      </c>
      <c r="BM407" t="s">
        <v>5019</v>
      </c>
      <c r="BN407" t="s">
        <v>74</v>
      </c>
      <c r="BO407" t="s">
        <v>74</v>
      </c>
      <c r="BP407" t="s">
        <v>74</v>
      </c>
      <c r="BQ407" t="s">
        <v>74</v>
      </c>
      <c r="BR407" t="s">
        <v>101</v>
      </c>
      <c r="BS407" t="s">
        <v>5020</v>
      </c>
      <c r="BT407" t="str">
        <f>HYPERLINK("https%3A%2F%2Fwww.webofscience.com%2Fwos%2Fwoscc%2Ffull-record%2FWOS:000072343000004","View Full Record in Web of Science")</f>
        <v>View Full Record in Web of Science</v>
      </c>
    </row>
    <row r="408" spans="1:72" x14ac:dyDescent="0.15">
      <c r="A408" t="s">
        <v>72</v>
      </c>
      <c r="B408" t="s">
        <v>5021</v>
      </c>
      <c r="C408" t="s">
        <v>74</v>
      </c>
      <c r="D408" t="s">
        <v>74</v>
      </c>
      <c r="E408" t="s">
        <v>74</v>
      </c>
      <c r="F408" t="s">
        <v>5021</v>
      </c>
      <c r="G408" t="s">
        <v>74</v>
      </c>
      <c r="H408" t="s">
        <v>74</v>
      </c>
      <c r="I408" t="s">
        <v>5022</v>
      </c>
      <c r="J408" t="s">
        <v>5023</v>
      </c>
      <c r="K408" t="s">
        <v>74</v>
      </c>
      <c r="L408" t="s">
        <v>74</v>
      </c>
      <c r="M408" t="s">
        <v>77</v>
      </c>
      <c r="N408" t="s">
        <v>78</v>
      </c>
      <c r="O408" t="s">
        <v>74</v>
      </c>
      <c r="P408" t="s">
        <v>74</v>
      </c>
      <c r="Q408" t="s">
        <v>74</v>
      </c>
      <c r="R408" t="s">
        <v>74</v>
      </c>
      <c r="S408" t="s">
        <v>74</v>
      </c>
      <c r="T408" t="s">
        <v>5024</v>
      </c>
      <c r="U408" t="s">
        <v>5025</v>
      </c>
      <c r="V408" t="s">
        <v>5026</v>
      </c>
      <c r="W408" t="s">
        <v>372</v>
      </c>
      <c r="X408" t="s">
        <v>322</v>
      </c>
      <c r="Y408" t="s">
        <v>873</v>
      </c>
      <c r="Z408" t="s">
        <v>74</v>
      </c>
      <c r="AA408" t="s">
        <v>912</v>
      </c>
      <c r="AB408" t="s">
        <v>913</v>
      </c>
      <c r="AC408" t="s">
        <v>74</v>
      </c>
      <c r="AD408" t="s">
        <v>74</v>
      </c>
      <c r="AE408" t="s">
        <v>74</v>
      </c>
      <c r="AF408" t="s">
        <v>74</v>
      </c>
      <c r="AG408">
        <v>28</v>
      </c>
      <c r="AH408">
        <v>56</v>
      </c>
      <c r="AI408">
        <v>65</v>
      </c>
      <c r="AJ408">
        <v>0</v>
      </c>
      <c r="AK408">
        <v>10</v>
      </c>
      <c r="AL408" t="s">
        <v>877</v>
      </c>
      <c r="AM408" t="s">
        <v>826</v>
      </c>
      <c r="AN408" t="s">
        <v>827</v>
      </c>
      <c r="AO408" t="s">
        <v>5027</v>
      </c>
      <c r="AP408" t="s">
        <v>5028</v>
      </c>
      <c r="AQ408" t="s">
        <v>74</v>
      </c>
      <c r="AR408" t="s">
        <v>5029</v>
      </c>
      <c r="AS408" t="s">
        <v>5030</v>
      </c>
      <c r="AT408" t="s">
        <v>2502</v>
      </c>
      <c r="AU408">
        <v>1998</v>
      </c>
      <c r="AV408">
        <v>25</v>
      </c>
      <c r="AW408">
        <v>1</v>
      </c>
      <c r="AX408" t="s">
        <v>74</v>
      </c>
      <c r="AY408" t="s">
        <v>74</v>
      </c>
      <c r="AZ408" t="s">
        <v>74</v>
      </c>
      <c r="BA408" t="s">
        <v>74</v>
      </c>
      <c r="BB408">
        <v>31</v>
      </c>
      <c r="BC408">
        <v>36</v>
      </c>
      <c r="BD408" t="s">
        <v>74</v>
      </c>
      <c r="BE408" t="s">
        <v>5031</v>
      </c>
      <c r="BF408" t="str">
        <f>HYPERLINK("http://dx.doi.org/10.1046/j.1365-2699.1998.251176.x","http://dx.doi.org/10.1046/j.1365-2699.1998.251176.x")</f>
        <v>http://dx.doi.org/10.1046/j.1365-2699.1998.251176.x</v>
      </c>
      <c r="BG408" t="s">
        <v>74</v>
      </c>
      <c r="BH408" t="s">
        <v>74</v>
      </c>
      <c r="BI408">
        <v>6</v>
      </c>
      <c r="BJ408" t="s">
        <v>5032</v>
      </c>
      <c r="BK408" t="s">
        <v>98</v>
      </c>
      <c r="BL408" t="s">
        <v>5033</v>
      </c>
      <c r="BM408" t="s">
        <v>5034</v>
      </c>
      <c r="BN408" t="s">
        <v>74</v>
      </c>
      <c r="BO408" t="s">
        <v>74</v>
      </c>
      <c r="BP408" t="s">
        <v>74</v>
      </c>
      <c r="BQ408" t="s">
        <v>74</v>
      </c>
      <c r="BR408" t="s">
        <v>101</v>
      </c>
      <c r="BS408" t="s">
        <v>5035</v>
      </c>
      <c r="BT408" t="str">
        <f>HYPERLINK("https%3A%2F%2Fwww.webofscience.com%2Fwos%2Fwoscc%2Ffull-record%2FWOS:000073382800004","View Full Record in Web of Science")</f>
        <v>View Full Record in Web of Science</v>
      </c>
    </row>
    <row r="409" spans="1:72" x14ac:dyDescent="0.15">
      <c r="A409" t="s">
        <v>72</v>
      </c>
      <c r="B409" t="s">
        <v>5036</v>
      </c>
      <c r="C409" t="s">
        <v>74</v>
      </c>
      <c r="D409" t="s">
        <v>74</v>
      </c>
      <c r="E409" t="s">
        <v>74</v>
      </c>
      <c r="F409" t="s">
        <v>5036</v>
      </c>
      <c r="G409" t="s">
        <v>74</v>
      </c>
      <c r="H409" t="s">
        <v>74</v>
      </c>
      <c r="I409" t="s">
        <v>5037</v>
      </c>
      <c r="J409" t="s">
        <v>5038</v>
      </c>
      <c r="K409" t="s">
        <v>74</v>
      </c>
      <c r="L409" t="s">
        <v>74</v>
      </c>
      <c r="M409" t="s">
        <v>77</v>
      </c>
      <c r="N409" t="s">
        <v>78</v>
      </c>
      <c r="O409" t="s">
        <v>74</v>
      </c>
      <c r="P409" t="s">
        <v>74</v>
      </c>
      <c r="Q409" t="s">
        <v>74</v>
      </c>
      <c r="R409" t="s">
        <v>74</v>
      </c>
      <c r="S409" t="s">
        <v>74</v>
      </c>
      <c r="T409" t="s">
        <v>74</v>
      </c>
      <c r="U409" t="s">
        <v>5039</v>
      </c>
      <c r="V409" t="s">
        <v>5040</v>
      </c>
      <c r="W409" t="s">
        <v>5041</v>
      </c>
      <c r="X409" t="s">
        <v>5042</v>
      </c>
      <c r="Y409" t="s">
        <v>5043</v>
      </c>
      <c r="Z409" t="s">
        <v>74</v>
      </c>
      <c r="AA409" t="s">
        <v>5044</v>
      </c>
      <c r="AB409" t="s">
        <v>5045</v>
      </c>
      <c r="AC409" t="s">
        <v>74</v>
      </c>
      <c r="AD409" t="s">
        <v>74</v>
      </c>
      <c r="AE409" t="s">
        <v>74</v>
      </c>
      <c r="AF409" t="s">
        <v>74</v>
      </c>
      <c r="AG409">
        <v>35</v>
      </c>
      <c r="AH409">
        <v>69</v>
      </c>
      <c r="AI409">
        <v>72</v>
      </c>
      <c r="AJ409">
        <v>0</v>
      </c>
      <c r="AK409">
        <v>10</v>
      </c>
      <c r="AL409" t="s">
        <v>1363</v>
      </c>
      <c r="AM409" t="s">
        <v>214</v>
      </c>
      <c r="AN409" t="s">
        <v>1364</v>
      </c>
      <c r="AO409" t="s">
        <v>5046</v>
      </c>
      <c r="AP409" t="s">
        <v>74</v>
      </c>
      <c r="AQ409" t="s">
        <v>74</v>
      </c>
      <c r="AR409" t="s">
        <v>5047</v>
      </c>
      <c r="AS409" t="s">
        <v>5048</v>
      </c>
      <c r="AT409" t="s">
        <v>74</v>
      </c>
      <c r="AU409">
        <v>1998</v>
      </c>
      <c r="AV409">
        <v>41</v>
      </c>
      <c r="AW409">
        <v>1</v>
      </c>
      <c r="AX409" t="s">
        <v>74</v>
      </c>
      <c r="AY409" t="s">
        <v>74</v>
      </c>
      <c r="AZ409" t="s">
        <v>74</v>
      </c>
      <c r="BA409" t="s">
        <v>74</v>
      </c>
      <c r="BB409">
        <v>33</v>
      </c>
      <c r="BC409">
        <v>45</v>
      </c>
      <c r="BD409" t="s">
        <v>74</v>
      </c>
      <c r="BE409" t="s">
        <v>5049</v>
      </c>
      <c r="BF409" t="str">
        <f>HYPERLINK("http://dx.doi.org/10.1016/S0265-931X(97)00084-2","http://dx.doi.org/10.1016/S0265-931X(97)00084-2")</f>
        <v>http://dx.doi.org/10.1016/S0265-931X(97)00084-2</v>
      </c>
      <c r="BG409" t="s">
        <v>74</v>
      </c>
      <c r="BH409" t="s">
        <v>74</v>
      </c>
      <c r="BI409">
        <v>13</v>
      </c>
      <c r="BJ409" t="s">
        <v>5050</v>
      </c>
      <c r="BK409" t="s">
        <v>98</v>
      </c>
      <c r="BL409" t="s">
        <v>1545</v>
      </c>
      <c r="BM409" t="s">
        <v>5051</v>
      </c>
      <c r="BN409" t="s">
        <v>74</v>
      </c>
      <c r="BO409" t="s">
        <v>74</v>
      </c>
      <c r="BP409" t="s">
        <v>74</v>
      </c>
      <c r="BQ409" t="s">
        <v>74</v>
      </c>
      <c r="BR409" t="s">
        <v>101</v>
      </c>
      <c r="BS409" t="s">
        <v>5052</v>
      </c>
      <c r="BT409" t="str">
        <f>HYPERLINK("https%3A%2F%2Fwww.webofscience.com%2Fwos%2Fwoscc%2Ffull-record%2FWOS:000074986000004","View Full Record in Web of Science")</f>
        <v>View Full Record in Web of Science</v>
      </c>
    </row>
    <row r="410" spans="1:72" x14ac:dyDescent="0.15">
      <c r="A410" t="s">
        <v>72</v>
      </c>
      <c r="B410" t="s">
        <v>5053</v>
      </c>
      <c r="C410" t="s">
        <v>74</v>
      </c>
      <c r="D410" t="s">
        <v>74</v>
      </c>
      <c r="E410" t="s">
        <v>74</v>
      </c>
      <c r="F410" t="s">
        <v>5053</v>
      </c>
      <c r="G410" t="s">
        <v>74</v>
      </c>
      <c r="H410" t="s">
        <v>74</v>
      </c>
      <c r="I410" t="s">
        <v>5054</v>
      </c>
      <c r="J410" t="s">
        <v>5055</v>
      </c>
      <c r="K410" t="s">
        <v>74</v>
      </c>
      <c r="L410" t="s">
        <v>74</v>
      </c>
      <c r="M410" t="s">
        <v>77</v>
      </c>
      <c r="N410" t="s">
        <v>78</v>
      </c>
      <c r="O410" t="s">
        <v>74</v>
      </c>
      <c r="P410" t="s">
        <v>74</v>
      </c>
      <c r="Q410" t="s">
        <v>74</v>
      </c>
      <c r="R410" t="s">
        <v>74</v>
      </c>
      <c r="S410" t="s">
        <v>74</v>
      </c>
      <c r="T410" t="s">
        <v>5056</v>
      </c>
      <c r="U410" t="s">
        <v>5057</v>
      </c>
      <c r="V410" t="s">
        <v>5058</v>
      </c>
      <c r="W410" t="s">
        <v>5059</v>
      </c>
      <c r="X410" t="s">
        <v>5060</v>
      </c>
      <c r="Y410" t="s">
        <v>5061</v>
      </c>
      <c r="Z410" t="s">
        <v>5062</v>
      </c>
      <c r="AA410" t="s">
        <v>5063</v>
      </c>
      <c r="AB410" t="s">
        <v>5064</v>
      </c>
      <c r="AC410" t="s">
        <v>74</v>
      </c>
      <c r="AD410" t="s">
        <v>74</v>
      </c>
      <c r="AE410" t="s">
        <v>74</v>
      </c>
      <c r="AF410" t="s">
        <v>74</v>
      </c>
      <c r="AG410">
        <v>55</v>
      </c>
      <c r="AH410">
        <v>204</v>
      </c>
      <c r="AI410">
        <v>215</v>
      </c>
      <c r="AJ410">
        <v>2</v>
      </c>
      <c r="AK410">
        <v>36</v>
      </c>
      <c r="AL410" t="s">
        <v>5065</v>
      </c>
      <c r="AM410" t="s">
        <v>115</v>
      </c>
      <c r="AN410" t="s">
        <v>5066</v>
      </c>
      <c r="AO410" t="s">
        <v>5067</v>
      </c>
      <c r="AP410" t="s">
        <v>74</v>
      </c>
      <c r="AQ410" t="s">
        <v>74</v>
      </c>
      <c r="AR410" t="s">
        <v>5068</v>
      </c>
      <c r="AS410" t="s">
        <v>5069</v>
      </c>
      <c r="AT410" t="s">
        <v>2502</v>
      </c>
      <c r="AU410">
        <v>1998</v>
      </c>
      <c r="AV410">
        <v>201</v>
      </c>
      <c r="AW410">
        <v>1</v>
      </c>
      <c r="AX410" t="s">
        <v>74</v>
      </c>
      <c r="AY410" t="s">
        <v>74</v>
      </c>
      <c r="AZ410" t="s">
        <v>74</v>
      </c>
      <c r="BA410" t="s">
        <v>74</v>
      </c>
      <c r="BB410">
        <v>1</v>
      </c>
      <c r="BC410">
        <v>12</v>
      </c>
      <c r="BD410" t="s">
        <v>74</v>
      </c>
      <c r="BE410" t="s">
        <v>74</v>
      </c>
      <c r="BF410" t="s">
        <v>74</v>
      </c>
      <c r="BG410" t="s">
        <v>74</v>
      </c>
      <c r="BH410" t="s">
        <v>74</v>
      </c>
      <c r="BI410">
        <v>12</v>
      </c>
      <c r="BJ410" t="s">
        <v>1386</v>
      </c>
      <c r="BK410" t="s">
        <v>98</v>
      </c>
      <c r="BL410" t="s">
        <v>1387</v>
      </c>
      <c r="BM410" t="s">
        <v>5070</v>
      </c>
      <c r="BN410">
        <v>9390931</v>
      </c>
      <c r="BO410" t="s">
        <v>74</v>
      </c>
      <c r="BP410" t="s">
        <v>74</v>
      </c>
      <c r="BQ410" t="s">
        <v>74</v>
      </c>
      <c r="BR410" t="s">
        <v>101</v>
      </c>
      <c r="BS410" t="s">
        <v>5071</v>
      </c>
      <c r="BT410" t="str">
        <f>HYPERLINK("https%3A%2F%2Fwww.webofscience.com%2Fwos%2Fwoscc%2Ffull-record%2FWOS:000071687900001","View Full Record in Web of Science")</f>
        <v>View Full Record in Web of Science</v>
      </c>
    </row>
    <row r="411" spans="1:72" x14ac:dyDescent="0.15">
      <c r="A411" t="s">
        <v>72</v>
      </c>
      <c r="B411" t="s">
        <v>5072</v>
      </c>
      <c r="C411" t="s">
        <v>74</v>
      </c>
      <c r="D411" t="s">
        <v>74</v>
      </c>
      <c r="E411" t="s">
        <v>74</v>
      </c>
      <c r="F411" t="s">
        <v>5072</v>
      </c>
      <c r="G411" t="s">
        <v>74</v>
      </c>
      <c r="H411" t="s">
        <v>74</v>
      </c>
      <c r="I411" t="s">
        <v>5073</v>
      </c>
      <c r="J411" t="s">
        <v>1658</v>
      </c>
      <c r="K411" t="s">
        <v>74</v>
      </c>
      <c r="L411" t="s">
        <v>74</v>
      </c>
      <c r="M411" t="s">
        <v>77</v>
      </c>
      <c r="N411" t="s">
        <v>78</v>
      </c>
      <c r="O411" t="s">
        <v>74</v>
      </c>
      <c r="P411" t="s">
        <v>74</v>
      </c>
      <c r="Q411" t="s">
        <v>74</v>
      </c>
      <c r="R411" t="s">
        <v>74</v>
      </c>
      <c r="S411" t="s">
        <v>74</v>
      </c>
      <c r="T411" t="s">
        <v>74</v>
      </c>
      <c r="U411" t="s">
        <v>5074</v>
      </c>
      <c r="V411" t="s">
        <v>5075</v>
      </c>
      <c r="W411" t="s">
        <v>5076</v>
      </c>
      <c r="X411" t="s">
        <v>5077</v>
      </c>
      <c r="Y411" t="s">
        <v>5078</v>
      </c>
      <c r="Z411" t="s">
        <v>5079</v>
      </c>
      <c r="AA411" t="s">
        <v>5080</v>
      </c>
      <c r="AB411" t="s">
        <v>5081</v>
      </c>
      <c r="AC411" t="s">
        <v>74</v>
      </c>
      <c r="AD411" t="s">
        <v>74</v>
      </c>
      <c r="AE411" t="s">
        <v>74</v>
      </c>
      <c r="AF411" t="s">
        <v>74</v>
      </c>
      <c r="AG411">
        <v>34</v>
      </c>
      <c r="AH411">
        <v>6</v>
      </c>
      <c r="AI411">
        <v>6</v>
      </c>
      <c r="AJ411">
        <v>0</v>
      </c>
      <c r="AK411">
        <v>1</v>
      </c>
      <c r="AL411" t="s">
        <v>87</v>
      </c>
      <c r="AM411" t="s">
        <v>88</v>
      </c>
      <c r="AN411" t="s">
        <v>89</v>
      </c>
      <c r="AO411" t="s">
        <v>74</v>
      </c>
      <c r="AP411" t="s">
        <v>74</v>
      </c>
      <c r="AQ411" t="s">
        <v>74</v>
      </c>
      <c r="AR411" t="s">
        <v>1661</v>
      </c>
      <c r="AS411" t="s">
        <v>1662</v>
      </c>
      <c r="AT411" t="s">
        <v>3861</v>
      </c>
      <c r="AU411">
        <v>1998</v>
      </c>
      <c r="AV411">
        <v>103</v>
      </c>
      <c r="AW411" t="s">
        <v>5082</v>
      </c>
      <c r="AX411" t="s">
        <v>74</v>
      </c>
      <c r="AY411" t="s">
        <v>74</v>
      </c>
      <c r="AZ411" t="s">
        <v>74</v>
      </c>
      <c r="BA411" t="s">
        <v>74</v>
      </c>
      <c r="BB411">
        <v>179</v>
      </c>
      <c r="BC411">
        <v>190</v>
      </c>
      <c r="BD411" t="s">
        <v>74</v>
      </c>
      <c r="BE411" t="s">
        <v>5083</v>
      </c>
      <c r="BF411" t="str">
        <f>HYPERLINK("http://dx.doi.org/10.1029/97JA01987","http://dx.doi.org/10.1029/97JA01987")</f>
        <v>http://dx.doi.org/10.1029/97JA01987</v>
      </c>
      <c r="BG411" t="s">
        <v>74</v>
      </c>
      <c r="BH411" t="s">
        <v>74</v>
      </c>
      <c r="BI411">
        <v>12</v>
      </c>
      <c r="BJ411" t="s">
        <v>971</v>
      </c>
      <c r="BK411" t="s">
        <v>98</v>
      </c>
      <c r="BL411" t="s">
        <v>971</v>
      </c>
      <c r="BM411" t="s">
        <v>5084</v>
      </c>
      <c r="BN411" t="s">
        <v>74</v>
      </c>
      <c r="BO411" t="s">
        <v>100</v>
      </c>
      <c r="BP411" t="s">
        <v>74</v>
      </c>
      <c r="BQ411" t="s">
        <v>74</v>
      </c>
      <c r="BR411" t="s">
        <v>101</v>
      </c>
      <c r="BS411" t="s">
        <v>5085</v>
      </c>
      <c r="BT411" t="str">
        <f>HYPERLINK("https%3A%2F%2Fwww.webofscience.com%2Fwos%2Fwoscc%2Ffull-record%2FWOS:000071415900015","View Full Record in Web of Science")</f>
        <v>View Full Record in Web of Science</v>
      </c>
    </row>
    <row r="412" spans="1:72" x14ac:dyDescent="0.15">
      <c r="A412" t="s">
        <v>72</v>
      </c>
      <c r="B412" t="s">
        <v>5086</v>
      </c>
      <c r="C412" t="s">
        <v>74</v>
      </c>
      <c r="D412" t="s">
        <v>74</v>
      </c>
      <c r="E412" t="s">
        <v>74</v>
      </c>
      <c r="F412" t="s">
        <v>5086</v>
      </c>
      <c r="G412" t="s">
        <v>74</v>
      </c>
      <c r="H412" t="s">
        <v>74</v>
      </c>
      <c r="I412" t="s">
        <v>5087</v>
      </c>
      <c r="J412" t="s">
        <v>1658</v>
      </c>
      <c r="K412" t="s">
        <v>74</v>
      </c>
      <c r="L412" t="s">
        <v>74</v>
      </c>
      <c r="M412" t="s">
        <v>77</v>
      </c>
      <c r="N412" t="s">
        <v>78</v>
      </c>
      <c r="O412" t="s">
        <v>74</v>
      </c>
      <c r="P412" t="s">
        <v>74</v>
      </c>
      <c r="Q412" t="s">
        <v>74</v>
      </c>
      <c r="R412" t="s">
        <v>74</v>
      </c>
      <c r="S412" t="s">
        <v>74</v>
      </c>
      <c r="T412" t="s">
        <v>74</v>
      </c>
      <c r="U412" t="s">
        <v>5088</v>
      </c>
      <c r="V412" t="s">
        <v>5089</v>
      </c>
      <c r="W412" t="s">
        <v>5090</v>
      </c>
      <c r="X412" t="s">
        <v>5091</v>
      </c>
      <c r="Y412" t="s">
        <v>5092</v>
      </c>
      <c r="Z412" t="s">
        <v>74</v>
      </c>
      <c r="AA412" t="s">
        <v>74</v>
      </c>
      <c r="AB412" t="s">
        <v>5093</v>
      </c>
      <c r="AC412" t="s">
        <v>74</v>
      </c>
      <c r="AD412" t="s">
        <v>74</v>
      </c>
      <c r="AE412" t="s">
        <v>74</v>
      </c>
      <c r="AF412" t="s">
        <v>74</v>
      </c>
      <c r="AG412">
        <v>20</v>
      </c>
      <c r="AH412">
        <v>14</v>
      </c>
      <c r="AI412">
        <v>14</v>
      </c>
      <c r="AJ412">
        <v>0</v>
      </c>
      <c r="AK412">
        <v>0</v>
      </c>
      <c r="AL412" t="s">
        <v>87</v>
      </c>
      <c r="AM412" t="s">
        <v>88</v>
      </c>
      <c r="AN412" t="s">
        <v>89</v>
      </c>
      <c r="AO412" t="s">
        <v>74</v>
      </c>
      <c r="AP412" t="s">
        <v>74</v>
      </c>
      <c r="AQ412" t="s">
        <v>74</v>
      </c>
      <c r="AR412" t="s">
        <v>1661</v>
      </c>
      <c r="AS412" t="s">
        <v>1662</v>
      </c>
      <c r="AT412" t="s">
        <v>3861</v>
      </c>
      <c r="AU412">
        <v>1998</v>
      </c>
      <c r="AV412">
        <v>103</v>
      </c>
      <c r="AW412" t="s">
        <v>5082</v>
      </c>
      <c r="AX412" t="s">
        <v>74</v>
      </c>
      <c r="AY412" t="s">
        <v>74</v>
      </c>
      <c r="AZ412" t="s">
        <v>74</v>
      </c>
      <c r="BA412" t="s">
        <v>74</v>
      </c>
      <c r="BB412">
        <v>367</v>
      </c>
      <c r="BC412">
        <v>372</v>
      </c>
      <c r="BD412" t="s">
        <v>74</v>
      </c>
      <c r="BE412" t="s">
        <v>5094</v>
      </c>
      <c r="BF412" t="str">
        <f>HYPERLINK("http://dx.doi.org/10.1029/97JA02520","http://dx.doi.org/10.1029/97JA02520")</f>
        <v>http://dx.doi.org/10.1029/97JA02520</v>
      </c>
      <c r="BG412" t="s">
        <v>74</v>
      </c>
      <c r="BH412" t="s">
        <v>74</v>
      </c>
      <c r="BI412">
        <v>6</v>
      </c>
      <c r="BJ412" t="s">
        <v>971</v>
      </c>
      <c r="BK412" t="s">
        <v>98</v>
      </c>
      <c r="BL412" t="s">
        <v>971</v>
      </c>
      <c r="BM412" t="s">
        <v>5084</v>
      </c>
      <c r="BN412" t="s">
        <v>74</v>
      </c>
      <c r="BO412" t="s">
        <v>100</v>
      </c>
      <c r="BP412" t="s">
        <v>74</v>
      </c>
      <c r="BQ412" t="s">
        <v>74</v>
      </c>
      <c r="BR412" t="s">
        <v>101</v>
      </c>
      <c r="BS412" t="s">
        <v>5095</v>
      </c>
      <c r="BT412" t="str">
        <f>HYPERLINK("https%3A%2F%2Fwww.webofscience.com%2Fwos%2Fwoscc%2Ffull-record%2FWOS:000071415900032","View Full Record in Web of Science")</f>
        <v>View Full Record in Web of Science</v>
      </c>
    </row>
    <row r="413" spans="1:72" x14ac:dyDescent="0.15">
      <c r="A413" t="s">
        <v>72</v>
      </c>
      <c r="B413" t="s">
        <v>5096</v>
      </c>
      <c r="C413" t="s">
        <v>74</v>
      </c>
      <c r="D413" t="s">
        <v>74</v>
      </c>
      <c r="E413" t="s">
        <v>74</v>
      </c>
      <c r="F413" t="s">
        <v>5096</v>
      </c>
      <c r="G413" t="s">
        <v>74</v>
      </c>
      <c r="H413" t="s">
        <v>74</v>
      </c>
      <c r="I413" t="s">
        <v>5097</v>
      </c>
      <c r="J413" t="s">
        <v>5098</v>
      </c>
      <c r="K413" t="s">
        <v>74</v>
      </c>
      <c r="L413" t="s">
        <v>74</v>
      </c>
      <c r="M413" t="s">
        <v>77</v>
      </c>
      <c r="N413" t="s">
        <v>78</v>
      </c>
      <c r="O413" t="s">
        <v>74</v>
      </c>
      <c r="P413" t="s">
        <v>74</v>
      </c>
      <c r="Q413" t="s">
        <v>74</v>
      </c>
      <c r="R413" t="s">
        <v>74</v>
      </c>
      <c r="S413" t="s">
        <v>74</v>
      </c>
      <c r="T413" t="s">
        <v>74</v>
      </c>
      <c r="U413" t="s">
        <v>5099</v>
      </c>
      <c r="V413" t="s">
        <v>5100</v>
      </c>
      <c r="W413" t="s">
        <v>5101</v>
      </c>
      <c r="X413" t="s">
        <v>5102</v>
      </c>
      <c r="Y413" t="s">
        <v>5103</v>
      </c>
      <c r="Z413" t="s">
        <v>74</v>
      </c>
      <c r="AA413" t="s">
        <v>5104</v>
      </c>
      <c r="AB413" t="s">
        <v>5105</v>
      </c>
      <c r="AC413" t="s">
        <v>74</v>
      </c>
      <c r="AD413" t="s">
        <v>74</v>
      </c>
      <c r="AE413" t="s">
        <v>74</v>
      </c>
      <c r="AF413" t="s">
        <v>74</v>
      </c>
      <c r="AG413">
        <v>18</v>
      </c>
      <c r="AH413">
        <v>32</v>
      </c>
      <c r="AI413">
        <v>34</v>
      </c>
      <c r="AJ413">
        <v>0</v>
      </c>
      <c r="AK413">
        <v>6</v>
      </c>
      <c r="AL413" t="s">
        <v>5106</v>
      </c>
      <c r="AM413" t="s">
        <v>115</v>
      </c>
      <c r="AN413" t="s">
        <v>2784</v>
      </c>
      <c r="AO413" t="s">
        <v>5107</v>
      </c>
      <c r="AP413" t="s">
        <v>74</v>
      </c>
      <c r="AQ413" t="s">
        <v>74</v>
      </c>
      <c r="AR413" t="s">
        <v>5108</v>
      </c>
      <c r="AS413" t="s">
        <v>5109</v>
      </c>
      <c r="AT413" t="s">
        <v>74</v>
      </c>
      <c r="AU413">
        <v>1998</v>
      </c>
      <c r="AV413">
        <v>44</v>
      </c>
      <c r="AW413">
        <v>146</v>
      </c>
      <c r="AX413" t="s">
        <v>74</v>
      </c>
      <c r="AY413" t="s">
        <v>74</v>
      </c>
      <c r="AZ413" t="s">
        <v>74</v>
      </c>
      <c r="BA413" t="s">
        <v>74</v>
      </c>
      <c r="BB413">
        <v>1</v>
      </c>
      <c r="BC413">
        <v>8</v>
      </c>
      <c r="BD413" t="s">
        <v>74</v>
      </c>
      <c r="BE413" t="s">
        <v>74</v>
      </c>
      <c r="BF413" t="s">
        <v>74</v>
      </c>
      <c r="BG413" t="s">
        <v>74</v>
      </c>
      <c r="BH413" t="s">
        <v>74</v>
      </c>
      <c r="BI413">
        <v>8</v>
      </c>
      <c r="BJ413" t="s">
        <v>4239</v>
      </c>
      <c r="BK413" t="s">
        <v>98</v>
      </c>
      <c r="BL413" t="s">
        <v>4240</v>
      </c>
      <c r="BM413" t="s">
        <v>5110</v>
      </c>
      <c r="BN413" t="s">
        <v>74</v>
      </c>
      <c r="BO413" t="s">
        <v>74</v>
      </c>
      <c r="BP413" t="s">
        <v>74</v>
      </c>
      <c r="BQ413" t="s">
        <v>74</v>
      </c>
      <c r="BR413" t="s">
        <v>101</v>
      </c>
      <c r="BS413" t="s">
        <v>5111</v>
      </c>
      <c r="BT413" t="str">
        <f>HYPERLINK("https%3A%2F%2Fwww.webofscience.com%2Fwos%2Fwoscc%2Ffull-record%2FWOS:000075078600001","View Full Record in Web of Science")</f>
        <v>View Full Record in Web of Science</v>
      </c>
    </row>
    <row r="414" spans="1:72" x14ac:dyDescent="0.15">
      <c r="A414" t="s">
        <v>72</v>
      </c>
      <c r="B414" t="s">
        <v>5112</v>
      </c>
      <c r="C414" t="s">
        <v>74</v>
      </c>
      <c r="D414" t="s">
        <v>74</v>
      </c>
      <c r="E414" t="s">
        <v>74</v>
      </c>
      <c r="F414" t="s">
        <v>5112</v>
      </c>
      <c r="G414" t="s">
        <v>74</v>
      </c>
      <c r="H414" t="s">
        <v>74</v>
      </c>
      <c r="I414" t="s">
        <v>5113</v>
      </c>
      <c r="J414" t="s">
        <v>5098</v>
      </c>
      <c r="K414" t="s">
        <v>74</v>
      </c>
      <c r="L414" t="s">
        <v>74</v>
      </c>
      <c r="M414" t="s">
        <v>77</v>
      </c>
      <c r="N414" t="s">
        <v>78</v>
      </c>
      <c r="O414" t="s">
        <v>74</v>
      </c>
      <c r="P414" t="s">
        <v>74</v>
      </c>
      <c r="Q414" t="s">
        <v>74</v>
      </c>
      <c r="R414" t="s">
        <v>74</v>
      </c>
      <c r="S414" t="s">
        <v>74</v>
      </c>
      <c r="T414" t="s">
        <v>74</v>
      </c>
      <c r="U414" t="s">
        <v>5114</v>
      </c>
      <c r="V414" t="s">
        <v>5115</v>
      </c>
      <c r="W414" t="s">
        <v>372</v>
      </c>
      <c r="X414" t="s">
        <v>322</v>
      </c>
      <c r="Y414" t="s">
        <v>5116</v>
      </c>
      <c r="Z414" t="s">
        <v>74</v>
      </c>
      <c r="AA414" t="s">
        <v>74</v>
      </c>
      <c r="AB414" t="s">
        <v>74</v>
      </c>
      <c r="AC414" t="s">
        <v>74</v>
      </c>
      <c r="AD414" t="s">
        <v>74</v>
      </c>
      <c r="AE414" t="s">
        <v>74</v>
      </c>
      <c r="AF414" t="s">
        <v>74</v>
      </c>
      <c r="AG414">
        <v>22</v>
      </c>
      <c r="AH414">
        <v>18</v>
      </c>
      <c r="AI414">
        <v>18</v>
      </c>
      <c r="AJ414">
        <v>0</v>
      </c>
      <c r="AK414">
        <v>1</v>
      </c>
      <c r="AL414" t="s">
        <v>5106</v>
      </c>
      <c r="AM414" t="s">
        <v>115</v>
      </c>
      <c r="AN414" t="s">
        <v>2856</v>
      </c>
      <c r="AO414" t="s">
        <v>5107</v>
      </c>
      <c r="AP414" t="s">
        <v>74</v>
      </c>
      <c r="AQ414" t="s">
        <v>74</v>
      </c>
      <c r="AR414" t="s">
        <v>5108</v>
      </c>
      <c r="AS414" t="s">
        <v>5109</v>
      </c>
      <c r="AT414" t="s">
        <v>74</v>
      </c>
      <c r="AU414">
        <v>1998</v>
      </c>
      <c r="AV414">
        <v>44</v>
      </c>
      <c r="AW414">
        <v>146</v>
      </c>
      <c r="AX414" t="s">
        <v>74</v>
      </c>
      <c r="AY414" t="s">
        <v>74</v>
      </c>
      <c r="AZ414" t="s">
        <v>74</v>
      </c>
      <c r="BA414" t="s">
        <v>74</v>
      </c>
      <c r="BB414">
        <v>77</v>
      </c>
      <c r="BC414">
        <v>92</v>
      </c>
      <c r="BD414" t="s">
        <v>74</v>
      </c>
      <c r="BE414" t="s">
        <v>5117</v>
      </c>
      <c r="BF414" t="str">
        <f>HYPERLINK("http://dx.doi.org/10.3189/S0022143000002379","http://dx.doi.org/10.3189/S0022143000002379")</f>
        <v>http://dx.doi.org/10.3189/S0022143000002379</v>
      </c>
      <c r="BG414" t="s">
        <v>74</v>
      </c>
      <c r="BH414" t="s">
        <v>74</v>
      </c>
      <c r="BI414">
        <v>16</v>
      </c>
      <c r="BJ414" t="s">
        <v>4239</v>
      </c>
      <c r="BK414" t="s">
        <v>98</v>
      </c>
      <c r="BL414" t="s">
        <v>4240</v>
      </c>
      <c r="BM414" t="s">
        <v>5110</v>
      </c>
      <c r="BN414" t="s">
        <v>74</v>
      </c>
      <c r="BO414" t="s">
        <v>100</v>
      </c>
      <c r="BP414" t="s">
        <v>74</v>
      </c>
      <c r="BQ414" t="s">
        <v>74</v>
      </c>
      <c r="BR414" t="s">
        <v>101</v>
      </c>
      <c r="BS414" t="s">
        <v>5118</v>
      </c>
      <c r="BT414" t="str">
        <f>HYPERLINK("https%3A%2F%2Fwww.webofscience.com%2Fwos%2Fwoscc%2Ffull-record%2FWOS:000075078600009","View Full Record in Web of Science")</f>
        <v>View Full Record in Web of Science</v>
      </c>
    </row>
    <row r="415" spans="1:72" x14ac:dyDescent="0.15">
      <c r="A415" t="s">
        <v>72</v>
      </c>
      <c r="B415" t="s">
        <v>5119</v>
      </c>
      <c r="C415" t="s">
        <v>74</v>
      </c>
      <c r="D415" t="s">
        <v>74</v>
      </c>
      <c r="E415" t="s">
        <v>74</v>
      </c>
      <c r="F415" t="s">
        <v>5119</v>
      </c>
      <c r="G415" t="s">
        <v>74</v>
      </c>
      <c r="H415" t="s">
        <v>74</v>
      </c>
      <c r="I415" t="s">
        <v>5120</v>
      </c>
      <c r="J415" t="s">
        <v>5098</v>
      </c>
      <c r="K415" t="s">
        <v>74</v>
      </c>
      <c r="L415" t="s">
        <v>74</v>
      </c>
      <c r="M415" t="s">
        <v>77</v>
      </c>
      <c r="N415" t="s">
        <v>78</v>
      </c>
      <c r="O415" t="s">
        <v>74</v>
      </c>
      <c r="P415" t="s">
        <v>74</v>
      </c>
      <c r="Q415" t="s">
        <v>74</v>
      </c>
      <c r="R415" t="s">
        <v>74</v>
      </c>
      <c r="S415" t="s">
        <v>74</v>
      </c>
      <c r="T415" t="s">
        <v>74</v>
      </c>
      <c r="U415" t="s">
        <v>74</v>
      </c>
      <c r="V415" t="s">
        <v>5121</v>
      </c>
      <c r="W415" t="s">
        <v>5122</v>
      </c>
      <c r="X415" t="s">
        <v>5123</v>
      </c>
      <c r="Y415" t="s">
        <v>5124</v>
      </c>
      <c r="Z415" t="s">
        <v>74</v>
      </c>
      <c r="AA415" t="s">
        <v>74</v>
      </c>
      <c r="AB415" t="s">
        <v>74</v>
      </c>
      <c r="AC415" t="s">
        <v>74</v>
      </c>
      <c r="AD415" t="s">
        <v>74</v>
      </c>
      <c r="AE415" t="s">
        <v>74</v>
      </c>
      <c r="AF415" t="s">
        <v>74</v>
      </c>
      <c r="AG415">
        <v>20</v>
      </c>
      <c r="AH415">
        <v>79</v>
      </c>
      <c r="AI415">
        <v>88</v>
      </c>
      <c r="AJ415">
        <v>0</v>
      </c>
      <c r="AK415">
        <v>4</v>
      </c>
      <c r="AL415" t="s">
        <v>5106</v>
      </c>
      <c r="AM415" t="s">
        <v>115</v>
      </c>
      <c r="AN415" t="s">
        <v>2856</v>
      </c>
      <c r="AO415" t="s">
        <v>5107</v>
      </c>
      <c r="AP415" t="s">
        <v>74</v>
      </c>
      <c r="AQ415" t="s">
        <v>74</v>
      </c>
      <c r="AR415" t="s">
        <v>5108</v>
      </c>
      <c r="AS415" t="s">
        <v>5109</v>
      </c>
      <c r="AT415" t="s">
        <v>74</v>
      </c>
      <c r="AU415">
        <v>1998</v>
      </c>
      <c r="AV415">
        <v>44</v>
      </c>
      <c r="AW415">
        <v>146</v>
      </c>
      <c r="AX415" t="s">
        <v>74</v>
      </c>
      <c r="AY415" t="s">
        <v>74</v>
      </c>
      <c r="AZ415" t="s">
        <v>74</v>
      </c>
      <c r="BA415" t="s">
        <v>74</v>
      </c>
      <c r="BB415">
        <v>149</v>
      </c>
      <c r="BC415">
        <v>156</v>
      </c>
      <c r="BD415" t="s">
        <v>74</v>
      </c>
      <c r="BE415" t="s">
        <v>5125</v>
      </c>
      <c r="BF415" t="str">
        <f>HYPERLINK("http://dx.doi.org/10.3189/S0022143000002434","http://dx.doi.org/10.3189/S0022143000002434")</f>
        <v>http://dx.doi.org/10.3189/S0022143000002434</v>
      </c>
      <c r="BG415" t="s">
        <v>74</v>
      </c>
      <c r="BH415" t="s">
        <v>74</v>
      </c>
      <c r="BI415">
        <v>8</v>
      </c>
      <c r="BJ415" t="s">
        <v>4239</v>
      </c>
      <c r="BK415" t="s">
        <v>98</v>
      </c>
      <c r="BL415" t="s">
        <v>4240</v>
      </c>
      <c r="BM415" t="s">
        <v>5110</v>
      </c>
      <c r="BN415" t="s">
        <v>74</v>
      </c>
      <c r="BO415" t="s">
        <v>123</v>
      </c>
      <c r="BP415" t="s">
        <v>74</v>
      </c>
      <c r="BQ415" t="s">
        <v>74</v>
      </c>
      <c r="BR415" t="s">
        <v>101</v>
      </c>
      <c r="BS415" t="s">
        <v>5126</v>
      </c>
      <c r="BT415" t="str">
        <f>HYPERLINK("https%3A%2F%2Fwww.webofscience.com%2Fwos%2Fwoscc%2Ffull-record%2FWOS:000075078600015","View Full Record in Web of Science")</f>
        <v>View Full Record in Web of Science</v>
      </c>
    </row>
    <row r="416" spans="1:72" x14ac:dyDescent="0.15">
      <c r="A416" t="s">
        <v>72</v>
      </c>
      <c r="B416" t="s">
        <v>5127</v>
      </c>
      <c r="C416" t="s">
        <v>74</v>
      </c>
      <c r="D416" t="s">
        <v>74</v>
      </c>
      <c r="E416" t="s">
        <v>74</v>
      </c>
      <c r="F416" t="s">
        <v>5127</v>
      </c>
      <c r="G416" t="s">
        <v>74</v>
      </c>
      <c r="H416" t="s">
        <v>74</v>
      </c>
      <c r="I416" t="s">
        <v>5128</v>
      </c>
      <c r="J416" t="s">
        <v>5098</v>
      </c>
      <c r="K416" t="s">
        <v>74</v>
      </c>
      <c r="L416" t="s">
        <v>74</v>
      </c>
      <c r="M416" t="s">
        <v>77</v>
      </c>
      <c r="N416" t="s">
        <v>78</v>
      </c>
      <c r="O416" t="s">
        <v>74</v>
      </c>
      <c r="P416" t="s">
        <v>74</v>
      </c>
      <c r="Q416" t="s">
        <v>74</v>
      </c>
      <c r="R416" t="s">
        <v>74</v>
      </c>
      <c r="S416" t="s">
        <v>74</v>
      </c>
      <c r="T416" t="s">
        <v>74</v>
      </c>
      <c r="U416" t="s">
        <v>5129</v>
      </c>
      <c r="V416" t="s">
        <v>5130</v>
      </c>
      <c r="W416" t="s">
        <v>5122</v>
      </c>
      <c r="X416" t="s">
        <v>5123</v>
      </c>
      <c r="Y416" t="s">
        <v>5124</v>
      </c>
      <c r="Z416" t="s">
        <v>74</v>
      </c>
      <c r="AA416" t="s">
        <v>74</v>
      </c>
      <c r="AB416" t="s">
        <v>74</v>
      </c>
      <c r="AC416" t="s">
        <v>74</v>
      </c>
      <c r="AD416" t="s">
        <v>74</v>
      </c>
      <c r="AE416" t="s">
        <v>74</v>
      </c>
      <c r="AF416" t="s">
        <v>74</v>
      </c>
      <c r="AG416">
        <v>52</v>
      </c>
      <c r="AH416">
        <v>26</v>
      </c>
      <c r="AI416">
        <v>28</v>
      </c>
      <c r="AJ416">
        <v>0</v>
      </c>
      <c r="AK416">
        <v>15</v>
      </c>
      <c r="AL416" t="s">
        <v>243</v>
      </c>
      <c r="AM416" t="s">
        <v>115</v>
      </c>
      <c r="AN416" t="s">
        <v>5131</v>
      </c>
      <c r="AO416" t="s">
        <v>5107</v>
      </c>
      <c r="AP416" t="s">
        <v>5132</v>
      </c>
      <c r="AQ416" t="s">
        <v>74</v>
      </c>
      <c r="AR416" t="s">
        <v>5108</v>
      </c>
      <c r="AS416" t="s">
        <v>5109</v>
      </c>
      <c r="AT416" t="s">
        <v>74</v>
      </c>
      <c r="AU416">
        <v>1998</v>
      </c>
      <c r="AV416">
        <v>44</v>
      </c>
      <c r="AW416">
        <v>146</v>
      </c>
      <c r="AX416" t="s">
        <v>74</v>
      </c>
      <c r="AY416" t="s">
        <v>74</v>
      </c>
      <c r="AZ416" t="s">
        <v>74</v>
      </c>
      <c r="BA416" t="s">
        <v>74</v>
      </c>
      <c r="BB416">
        <v>157</v>
      </c>
      <c r="BC416">
        <v>163</v>
      </c>
      <c r="BD416" t="s">
        <v>74</v>
      </c>
      <c r="BE416" t="s">
        <v>5133</v>
      </c>
      <c r="BF416" t="str">
        <f>HYPERLINK("http://dx.doi.org/10.3189/S0022143000002446","http://dx.doi.org/10.3189/S0022143000002446")</f>
        <v>http://dx.doi.org/10.3189/S0022143000002446</v>
      </c>
      <c r="BG416" t="s">
        <v>74</v>
      </c>
      <c r="BH416" t="s">
        <v>74</v>
      </c>
      <c r="BI416">
        <v>7</v>
      </c>
      <c r="BJ416" t="s">
        <v>4239</v>
      </c>
      <c r="BK416" t="s">
        <v>98</v>
      </c>
      <c r="BL416" t="s">
        <v>4240</v>
      </c>
      <c r="BM416" t="s">
        <v>5110</v>
      </c>
      <c r="BN416" t="s">
        <v>74</v>
      </c>
      <c r="BO416" t="s">
        <v>100</v>
      </c>
      <c r="BP416" t="s">
        <v>74</v>
      </c>
      <c r="BQ416" t="s">
        <v>74</v>
      </c>
      <c r="BR416" t="s">
        <v>101</v>
      </c>
      <c r="BS416" t="s">
        <v>5134</v>
      </c>
      <c r="BT416" t="str">
        <f>HYPERLINK("https%3A%2F%2Fwww.webofscience.com%2Fwos%2Fwoscc%2Ffull-record%2FWOS:000075078600016","View Full Record in Web of Science")</f>
        <v>View Full Record in Web of Science</v>
      </c>
    </row>
    <row r="417" spans="1:72" x14ac:dyDescent="0.15">
      <c r="A417" t="s">
        <v>72</v>
      </c>
      <c r="B417" t="s">
        <v>5135</v>
      </c>
      <c r="C417" t="s">
        <v>74</v>
      </c>
      <c r="D417" t="s">
        <v>74</v>
      </c>
      <c r="E417" t="s">
        <v>74</v>
      </c>
      <c r="F417" t="s">
        <v>5135</v>
      </c>
      <c r="G417" t="s">
        <v>74</v>
      </c>
      <c r="H417" t="s">
        <v>74</v>
      </c>
      <c r="I417" t="s">
        <v>5136</v>
      </c>
      <c r="J417" t="s">
        <v>5098</v>
      </c>
      <c r="K417" t="s">
        <v>74</v>
      </c>
      <c r="L417" t="s">
        <v>74</v>
      </c>
      <c r="M417" t="s">
        <v>77</v>
      </c>
      <c r="N417" t="s">
        <v>78</v>
      </c>
      <c r="O417" t="s">
        <v>74</v>
      </c>
      <c r="P417" t="s">
        <v>74</v>
      </c>
      <c r="Q417" t="s">
        <v>74</v>
      </c>
      <c r="R417" t="s">
        <v>74</v>
      </c>
      <c r="S417" t="s">
        <v>74</v>
      </c>
      <c r="T417" t="s">
        <v>74</v>
      </c>
      <c r="U417" t="s">
        <v>74</v>
      </c>
      <c r="V417" t="s">
        <v>5137</v>
      </c>
      <c r="W417" t="s">
        <v>5138</v>
      </c>
      <c r="X417" t="s">
        <v>5139</v>
      </c>
      <c r="Y417" t="s">
        <v>5140</v>
      </c>
      <c r="Z417" t="s">
        <v>74</v>
      </c>
      <c r="AA417" t="s">
        <v>5141</v>
      </c>
      <c r="AB417" t="s">
        <v>5142</v>
      </c>
      <c r="AC417" t="s">
        <v>74</v>
      </c>
      <c r="AD417" t="s">
        <v>74</v>
      </c>
      <c r="AE417" t="s">
        <v>74</v>
      </c>
      <c r="AF417" t="s">
        <v>74</v>
      </c>
      <c r="AG417">
        <v>3</v>
      </c>
      <c r="AH417">
        <v>4</v>
      </c>
      <c r="AI417">
        <v>4</v>
      </c>
      <c r="AJ417">
        <v>0</v>
      </c>
      <c r="AK417">
        <v>2</v>
      </c>
      <c r="AL417" t="s">
        <v>5106</v>
      </c>
      <c r="AM417" t="s">
        <v>115</v>
      </c>
      <c r="AN417" t="s">
        <v>2856</v>
      </c>
      <c r="AO417" t="s">
        <v>5107</v>
      </c>
      <c r="AP417" t="s">
        <v>74</v>
      </c>
      <c r="AQ417" t="s">
        <v>74</v>
      </c>
      <c r="AR417" t="s">
        <v>5108</v>
      </c>
      <c r="AS417" t="s">
        <v>5109</v>
      </c>
      <c r="AT417" t="s">
        <v>74</v>
      </c>
      <c r="AU417">
        <v>1998</v>
      </c>
      <c r="AV417">
        <v>44</v>
      </c>
      <c r="AW417">
        <v>146</v>
      </c>
      <c r="AX417" t="s">
        <v>74</v>
      </c>
      <c r="AY417" t="s">
        <v>74</v>
      </c>
      <c r="AZ417" t="s">
        <v>74</v>
      </c>
      <c r="BA417" t="s">
        <v>74</v>
      </c>
      <c r="BB417">
        <v>179</v>
      </c>
      <c r="BC417">
        <v>181</v>
      </c>
      <c r="BD417" t="s">
        <v>74</v>
      </c>
      <c r="BE417" t="s">
        <v>5143</v>
      </c>
      <c r="BF417" t="str">
        <f>HYPERLINK("http://dx.doi.org/10.3189/S0022143000002483","http://dx.doi.org/10.3189/S0022143000002483")</f>
        <v>http://dx.doi.org/10.3189/S0022143000002483</v>
      </c>
      <c r="BG417" t="s">
        <v>74</v>
      </c>
      <c r="BH417" t="s">
        <v>74</v>
      </c>
      <c r="BI417">
        <v>3</v>
      </c>
      <c r="BJ417" t="s">
        <v>4239</v>
      </c>
      <c r="BK417" t="s">
        <v>98</v>
      </c>
      <c r="BL417" t="s">
        <v>4240</v>
      </c>
      <c r="BM417" t="s">
        <v>5110</v>
      </c>
      <c r="BN417" t="s">
        <v>74</v>
      </c>
      <c r="BO417" t="s">
        <v>100</v>
      </c>
      <c r="BP417" t="s">
        <v>74</v>
      </c>
      <c r="BQ417" t="s">
        <v>74</v>
      </c>
      <c r="BR417" t="s">
        <v>101</v>
      </c>
      <c r="BS417" t="s">
        <v>5144</v>
      </c>
      <c r="BT417" t="str">
        <f>HYPERLINK("https%3A%2F%2Fwww.webofscience.com%2Fwos%2Fwoscc%2Ffull-record%2FWOS:000075078600020","View Full Record in Web of Science")</f>
        <v>View Full Record in Web of Science</v>
      </c>
    </row>
    <row r="418" spans="1:72" x14ac:dyDescent="0.15">
      <c r="A418" t="s">
        <v>72</v>
      </c>
      <c r="B418" t="s">
        <v>5145</v>
      </c>
      <c r="C418" t="s">
        <v>74</v>
      </c>
      <c r="D418" t="s">
        <v>74</v>
      </c>
      <c r="E418" t="s">
        <v>74</v>
      </c>
      <c r="F418" t="s">
        <v>5145</v>
      </c>
      <c r="G418" t="s">
        <v>74</v>
      </c>
      <c r="H418" t="s">
        <v>74</v>
      </c>
      <c r="I418" t="s">
        <v>5146</v>
      </c>
      <c r="J418" t="s">
        <v>5098</v>
      </c>
      <c r="K418" t="s">
        <v>74</v>
      </c>
      <c r="L418" t="s">
        <v>74</v>
      </c>
      <c r="M418" t="s">
        <v>77</v>
      </c>
      <c r="N418" t="s">
        <v>78</v>
      </c>
      <c r="O418" t="s">
        <v>74</v>
      </c>
      <c r="P418" t="s">
        <v>74</v>
      </c>
      <c r="Q418" t="s">
        <v>74</v>
      </c>
      <c r="R418" t="s">
        <v>74</v>
      </c>
      <c r="S418" t="s">
        <v>74</v>
      </c>
      <c r="T418" t="s">
        <v>74</v>
      </c>
      <c r="U418" t="s">
        <v>5147</v>
      </c>
      <c r="V418" t="s">
        <v>5148</v>
      </c>
      <c r="W418" t="s">
        <v>5149</v>
      </c>
      <c r="X418" t="s">
        <v>2927</v>
      </c>
      <c r="Y418" t="s">
        <v>5150</v>
      </c>
      <c r="Z418" t="s">
        <v>74</v>
      </c>
      <c r="AA418" t="s">
        <v>2929</v>
      </c>
      <c r="AB418" t="s">
        <v>2930</v>
      </c>
      <c r="AC418" t="s">
        <v>74</v>
      </c>
      <c r="AD418" t="s">
        <v>74</v>
      </c>
      <c r="AE418" t="s">
        <v>74</v>
      </c>
      <c r="AF418" t="s">
        <v>74</v>
      </c>
      <c r="AG418">
        <v>31</v>
      </c>
      <c r="AH418">
        <v>66</v>
      </c>
      <c r="AI418">
        <v>69</v>
      </c>
      <c r="AJ418">
        <v>0</v>
      </c>
      <c r="AK418">
        <v>6</v>
      </c>
      <c r="AL418" t="s">
        <v>5106</v>
      </c>
      <c r="AM418" t="s">
        <v>115</v>
      </c>
      <c r="AN418" t="s">
        <v>2856</v>
      </c>
      <c r="AO418" t="s">
        <v>5107</v>
      </c>
      <c r="AP418" t="s">
        <v>74</v>
      </c>
      <c r="AQ418" t="s">
        <v>74</v>
      </c>
      <c r="AR418" t="s">
        <v>5108</v>
      </c>
      <c r="AS418" t="s">
        <v>5109</v>
      </c>
      <c r="AT418" t="s">
        <v>74</v>
      </c>
      <c r="AU418">
        <v>1998</v>
      </c>
      <c r="AV418">
        <v>44</v>
      </c>
      <c r="AW418">
        <v>147</v>
      </c>
      <c r="AX418" t="s">
        <v>74</v>
      </c>
      <c r="AY418" t="s">
        <v>74</v>
      </c>
      <c r="AZ418" t="s">
        <v>74</v>
      </c>
      <c r="BA418" t="s">
        <v>74</v>
      </c>
      <c r="BB418">
        <v>197</v>
      </c>
      <c r="BC418">
        <v>206</v>
      </c>
      <c r="BD418" t="s">
        <v>74</v>
      </c>
      <c r="BE418" t="s">
        <v>5151</v>
      </c>
      <c r="BF418" t="str">
        <f>HYPERLINK("http://dx.doi.org/10.3189/S0022143000002537","http://dx.doi.org/10.3189/S0022143000002537")</f>
        <v>http://dx.doi.org/10.3189/S0022143000002537</v>
      </c>
      <c r="BG418" t="s">
        <v>74</v>
      </c>
      <c r="BH418" t="s">
        <v>74</v>
      </c>
      <c r="BI418">
        <v>10</v>
      </c>
      <c r="BJ418" t="s">
        <v>4239</v>
      </c>
      <c r="BK418" t="s">
        <v>98</v>
      </c>
      <c r="BL418" t="s">
        <v>4240</v>
      </c>
      <c r="BM418" t="s">
        <v>5152</v>
      </c>
      <c r="BN418" t="s">
        <v>74</v>
      </c>
      <c r="BO418" t="s">
        <v>100</v>
      </c>
      <c r="BP418" t="s">
        <v>74</v>
      </c>
      <c r="BQ418" t="s">
        <v>74</v>
      </c>
      <c r="BR418" t="s">
        <v>101</v>
      </c>
      <c r="BS418" t="s">
        <v>5153</v>
      </c>
      <c r="BT418" t="str">
        <f>HYPERLINK("https%3A%2F%2Fwww.webofscience.com%2Fwos%2Fwoscc%2Ffull-record%2FWOS:000077270400001","View Full Record in Web of Science")</f>
        <v>View Full Record in Web of Science</v>
      </c>
    </row>
    <row r="419" spans="1:72" x14ac:dyDescent="0.15">
      <c r="A419" t="s">
        <v>72</v>
      </c>
      <c r="B419" t="s">
        <v>5154</v>
      </c>
      <c r="C419" t="s">
        <v>74</v>
      </c>
      <c r="D419" t="s">
        <v>74</v>
      </c>
      <c r="E419" t="s">
        <v>74</v>
      </c>
      <c r="F419" t="s">
        <v>5154</v>
      </c>
      <c r="G419" t="s">
        <v>74</v>
      </c>
      <c r="H419" t="s">
        <v>74</v>
      </c>
      <c r="I419" t="s">
        <v>5155</v>
      </c>
      <c r="J419" t="s">
        <v>5098</v>
      </c>
      <c r="K419" t="s">
        <v>74</v>
      </c>
      <c r="L419" t="s">
        <v>74</v>
      </c>
      <c r="M419" t="s">
        <v>77</v>
      </c>
      <c r="N419" t="s">
        <v>78</v>
      </c>
      <c r="O419" t="s">
        <v>74</v>
      </c>
      <c r="P419" t="s">
        <v>74</v>
      </c>
      <c r="Q419" t="s">
        <v>74</v>
      </c>
      <c r="R419" t="s">
        <v>74</v>
      </c>
      <c r="S419" t="s">
        <v>74</v>
      </c>
      <c r="T419" t="s">
        <v>74</v>
      </c>
      <c r="U419" t="s">
        <v>5156</v>
      </c>
      <c r="V419" t="s">
        <v>5157</v>
      </c>
      <c r="W419" t="s">
        <v>5158</v>
      </c>
      <c r="X419" t="s">
        <v>5159</v>
      </c>
      <c r="Y419" t="s">
        <v>5160</v>
      </c>
      <c r="Z419" t="s">
        <v>74</v>
      </c>
      <c r="AA419" t="s">
        <v>74</v>
      </c>
      <c r="AB419" t="s">
        <v>74</v>
      </c>
      <c r="AC419" t="s">
        <v>74</v>
      </c>
      <c r="AD419" t="s">
        <v>74</v>
      </c>
      <c r="AE419" t="s">
        <v>74</v>
      </c>
      <c r="AF419" t="s">
        <v>74</v>
      </c>
      <c r="AG419">
        <v>17</v>
      </c>
      <c r="AH419">
        <v>21</v>
      </c>
      <c r="AI419">
        <v>25</v>
      </c>
      <c r="AJ419">
        <v>2</v>
      </c>
      <c r="AK419">
        <v>7</v>
      </c>
      <c r="AL419" t="s">
        <v>243</v>
      </c>
      <c r="AM419" t="s">
        <v>115</v>
      </c>
      <c r="AN419" t="s">
        <v>5131</v>
      </c>
      <c r="AO419" t="s">
        <v>5107</v>
      </c>
      <c r="AP419" t="s">
        <v>5132</v>
      </c>
      <c r="AQ419" t="s">
        <v>74</v>
      </c>
      <c r="AR419" t="s">
        <v>5108</v>
      </c>
      <c r="AS419" t="s">
        <v>5109</v>
      </c>
      <c r="AT419" t="s">
        <v>74</v>
      </c>
      <c r="AU419">
        <v>1998</v>
      </c>
      <c r="AV419">
        <v>44</v>
      </c>
      <c r="AW419">
        <v>147</v>
      </c>
      <c r="AX419" t="s">
        <v>74</v>
      </c>
      <c r="AY419" t="s">
        <v>74</v>
      </c>
      <c r="AZ419" t="s">
        <v>74</v>
      </c>
      <c r="BA419" t="s">
        <v>74</v>
      </c>
      <c r="BB419">
        <v>207</v>
      </c>
      <c r="BC419">
        <v>213</v>
      </c>
      <c r="BD419" t="s">
        <v>74</v>
      </c>
      <c r="BE419" t="s">
        <v>5161</v>
      </c>
      <c r="BF419" t="str">
        <f>HYPERLINK("http://dx.doi.org/10.3189/S0022143000002549","http://dx.doi.org/10.3189/S0022143000002549")</f>
        <v>http://dx.doi.org/10.3189/S0022143000002549</v>
      </c>
      <c r="BG419" t="s">
        <v>74</v>
      </c>
      <c r="BH419" t="s">
        <v>74</v>
      </c>
      <c r="BI419">
        <v>7</v>
      </c>
      <c r="BJ419" t="s">
        <v>4239</v>
      </c>
      <c r="BK419" t="s">
        <v>98</v>
      </c>
      <c r="BL419" t="s">
        <v>4240</v>
      </c>
      <c r="BM419" t="s">
        <v>5152</v>
      </c>
      <c r="BN419" t="s">
        <v>74</v>
      </c>
      <c r="BO419" t="s">
        <v>100</v>
      </c>
      <c r="BP419" t="s">
        <v>74</v>
      </c>
      <c r="BQ419" t="s">
        <v>74</v>
      </c>
      <c r="BR419" t="s">
        <v>101</v>
      </c>
      <c r="BS419" t="s">
        <v>5162</v>
      </c>
      <c r="BT419" t="str">
        <f>HYPERLINK("https%3A%2F%2Fwww.webofscience.com%2Fwos%2Fwoscc%2Ffull-record%2FWOS:000077270400002","View Full Record in Web of Science")</f>
        <v>View Full Record in Web of Science</v>
      </c>
    </row>
    <row r="420" spans="1:72" x14ac:dyDescent="0.15">
      <c r="A420" t="s">
        <v>72</v>
      </c>
      <c r="B420" t="s">
        <v>5163</v>
      </c>
      <c r="C420" t="s">
        <v>74</v>
      </c>
      <c r="D420" t="s">
        <v>74</v>
      </c>
      <c r="E420" t="s">
        <v>74</v>
      </c>
      <c r="F420" t="s">
        <v>5163</v>
      </c>
      <c r="G420" t="s">
        <v>74</v>
      </c>
      <c r="H420" t="s">
        <v>74</v>
      </c>
      <c r="I420" t="s">
        <v>5164</v>
      </c>
      <c r="J420" t="s">
        <v>5098</v>
      </c>
      <c r="K420" t="s">
        <v>74</v>
      </c>
      <c r="L420" t="s">
        <v>74</v>
      </c>
      <c r="M420" t="s">
        <v>77</v>
      </c>
      <c r="N420" t="s">
        <v>78</v>
      </c>
      <c r="O420" t="s">
        <v>74</v>
      </c>
      <c r="P420" t="s">
        <v>74</v>
      </c>
      <c r="Q420" t="s">
        <v>74</v>
      </c>
      <c r="R420" t="s">
        <v>74</v>
      </c>
      <c r="S420" t="s">
        <v>74</v>
      </c>
      <c r="T420" t="s">
        <v>74</v>
      </c>
      <c r="U420" t="s">
        <v>5165</v>
      </c>
      <c r="V420" t="s">
        <v>5166</v>
      </c>
      <c r="W420" t="s">
        <v>5167</v>
      </c>
      <c r="X420" t="s">
        <v>5168</v>
      </c>
      <c r="Y420" t="s">
        <v>5169</v>
      </c>
      <c r="Z420" t="s">
        <v>74</v>
      </c>
      <c r="AA420" t="s">
        <v>74</v>
      </c>
      <c r="AB420" t="s">
        <v>74</v>
      </c>
      <c r="AC420" t="s">
        <v>74</v>
      </c>
      <c r="AD420" t="s">
        <v>74</v>
      </c>
      <c r="AE420" t="s">
        <v>74</v>
      </c>
      <c r="AF420" t="s">
        <v>74</v>
      </c>
      <c r="AG420">
        <v>28</v>
      </c>
      <c r="AH420">
        <v>213</v>
      </c>
      <c r="AI420">
        <v>232</v>
      </c>
      <c r="AJ420">
        <v>2</v>
      </c>
      <c r="AK420">
        <v>22</v>
      </c>
      <c r="AL420" t="s">
        <v>5106</v>
      </c>
      <c r="AM420" t="s">
        <v>115</v>
      </c>
      <c r="AN420" t="s">
        <v>2856</v>
      </c>
      <c r="AO420" t="s">
        <v>5107</v>
      </c>
      <c r="AP420" t="s">
        <v>74</v>
      </c>
      <c r="AQ420" t="s">
        <v>74</v>
      </c>
      <c r="AR420" t="s">
        <v>5108</v>
      </c>
      <c r="AS420" t="s">
        <v>5109</v>
      </c>
      <c r="AT420" t="s">
        <v>74</v>
      </c>
      <c r="AU420">
        <v>1998</v>
      </c>
      <c r="AV420">
        <v>44</v>
      </c>
      <c r="AW420">
        <v>147</v>
      </c>
      <c r="AX420" t="s">
        <v>74</v>
      </c>
      <c r="AY420" t="s">
        <v>74</v>
      </c>
      <c r="AZ420" t="s">
        <v>74</v>
      </c>
      <c r="BA420" t="s">
        <v>74</v>
      </c>
      <c r="BB420">
        <v>223</v>
      </c>
      <c r="BC420">
        <v>230</v>
      </c>
      <c r="BD420" t="s">
        <v>74</v>
      </c>
      <c r="BE420" t="s">
        <v>74</v>
      </c>
      <c r="BF420" t="s">
        <v>74</v>
      </c>
      <c r="BG420" t="s">
        <v>74</v>
      </c>
      <c r="BH420" t="s">
        <v>74</v>
      </c>
      <c r="BI420">
        <v>8</v>
      </c>
      <c r="BJ420" t="s">
        <v>4239</v>
      </c>
      <c r="BK420" t="s">
        <v>98</v>
      </c>
      <c r="BL420" t="s">
        <v>4240</v>
      </c>
      <c r="BM420" t="s">
        <v>5152</v>
      </c>
      <c r="BN420" t="s">
        <v>74</v>
      </c>
      <c r="BO420" t="s">
        <v>74</v>
      </c>
      <c r="BP420" t="s">
        <v>74</v>
      </c>
      <c r="BQ420" t="s">
        <v>74</v>
      </c>
      <c r="BR420" t="s">
        <v>101</v>
      </c>
      <c r="BS420" t="s">
        <v>5170</v>
      </c>
      <c r="BT420" t="str">
        <f>HYPERLINK("https%3A%2F%2Fwww.webofscience.com%2Fwos%2Fwoscc%2Ffull-record%2FWOS:000077270400004","View Full Record in Web of Science")</f>
        <v>View Full Record in Web of Science</v>
      </c>
    </row>
    <row r="421" spans="1:72" x14ac:dyDescent="0.15">
      <c r="A421" t="s">
        <v>72</v>
      </c>
      <c r="B421" t="s">
        <v>5171</v>
      </c>
      <c r="C421" t="s">
        <v>74</v>
      </c>
      <c r="D421" t="s">
        <v>74</v>
      </c>
      <c r="E421" t="s">
        <v>74</v>
      </c>
      <c r="F421" t="s">
        <v>5171</v>
      </c>
      <c r="G421" t="s">
        <v>74</v>
      </c>
      <c r="H421" t="s">
        <v>74</v>
      </c>
      <c r="I421" t="s">
        <v>5172</v>
      </c>
      <c r="J421" t="s">
        <v>5098</v>
      </c>
      <c r="K421" t="s">
        <v>74</v>
      </c>
      <c r="L421" t="s">
        <v>74</v>
      </c>
      <c r="M421" t="s">
        <v>77</v>
      </c>
      <c r="N421" t="s">
        <v>78</v>
      </c>
      <c r="O421" t="s">
        <v>74</v>
      </c>
      <c r="P421" t="s">
        <v>74</v>
      </c>
      <c r="Q421" t="s">
        <v>74</v>
      </c>
      <c r="R421" t="s">
        <v>74</v>
      </c>
      <c r="S421" t="s">
        <v>74</v>
      </c>
      <c r="T421" t="s">
        <v>74</v>
      </c>
      <c r="U421" t="s">
        <v>5173</v>
      </c>
      <c r="V421" t="s">
        <v>5174</v>
      </c>
      <c r="W421" t="s">
        <v>5175</v>
      </c>
      <c r="X421" t="s">
        <v>5176</v>
      </c>
      <c r="Y421" t="s">
        <v>5177</v>
      </c>
      <c r="Z421" t="s">
        <v>74</v>
      </c>
      <c r="AA421" t="s">
        <v>5178</v>
      </c>
      <c r="AB421" t="s">
        <v>74</v>
      </c>
      <c r="AC421" t="s">
        <v>74</v>
      </c>
      <c r="AD421" t="s">
        <v>74</v>
      </c>
      <c r="AE421" t="s">
        <v>74</v>
      </c>
      <c r="AF421" t="s">
        <v>74</v>
      </c>
      <c r="AG421">
        <v>44</v>
      </c>
      <c r="AH421">
        <v>74</v>
      </c>
      <c r="AI421">
        <v>82</v>
      </c>
      <c r="AJ421">
        <v>0</v>
      </c>
      <c r="AK421">
        <v>14</v>
      </c>
      <c r="AL421" t="s">
        <v>5106</v>
      </c>
      <c r="AM421" t="s">
        <v>115</v>
      </c>
      <c r="AN421" t="s">
        <v>2856</v>
      </c>
      <c r="AO421" t="s">
        <v>5107</v>
      </c>
      <c r="AP421" t="s">
        <v>74</v>
      </c>
      <c r="AQ421" t="s">
        <v>74</v>
      </c>
      <c r="AR421" t="s">
        <v>5108</v>
      </c>
      <c r="AS421" t="s">
        <v>5109</v>
      </c>
      <c r="AT421" t="s">
        <v>74</v>
      </c>
      <c r="AU421">
        <v>1998</v>
      </c>
      <c r="AV421">
        <v>44</v>
      </c>
      <c r="AW421">
        <v>147</v>
      </c>
      <c r="AX421" t="s">
        <v>74</v>
      </c>
      <c r="AY421" t="s">
        <v>74</v>
      </c>
      <c r="AZ421" t="s">
        <v>74</v>
      </c>
      <c r="BA421" t="s">
        <v>74</v>
      </c>
      <c r="BB421">
        <v>273</v>
      </c>
      <c r="BC421">
        <v>284</v>
      </c>
      <c r="BD421" t="s">
        <v>74</v>
      </c>
      <c r="BE421" t="s">
        <v>5179</v>
      </c>
      <c r="BF421" t="str">
        <f>HYPERLINK("http://dx.doi.org/10.3189/S0022143000002616","http://dx.doi.org/10.3189/S0022143000002616")</f>
        <v>http://dx.doi.org/10.3189/S0022143000002616</v>
      </c>
      <c r="BG421" t="s">
        <v>74</v>
      </c>
      <c r="BH421" t="s">
        <v>74</v>
      </c>
      <c r="BI421">
        <v>12</v>
      </c>
      <c r="BJ421" t="s">
        <v>4239</v>
      </c>
      <c r="BK421" t="s">
        <v>98</v>
      </c>
      <c r="BL421" t="s">
        <v>4240</v>
      </c>
      <c r="BM421" t="s">
        <v>5152</v>
      </c>
      <c r="BN421" t="s">
        <v>74</v>
      </c>
      <c r="BO421" t="s">
        <v>100</v>
      </c>
      <c r="BP421" t="s">
        <v>74</v>
      </c>
      <c r="BQ421" t="s">
        <v>74</v>
      </c>
      <c r="BR421" t="s">
        <v>101</v>
      </c>
      <c r="BS421" t="s">
        <v>5180</v>
      </c>
      <c r="BT421" t="str">
        <f>HYPERLINK("https%3A%2F%2Fwww.webofscience.com%2Fwos%2Fwoscc%2Ffull-record%2FWOS:000077270400009","View Full Record in Web of Science")</f>
        <v>View Full Record in Web of Science</v>
      </c>
    </row>
    <row r="422" spans="1:72" x14ac:dyDescent="0.15">
      <c r="A422" t="s">
        <v>72</v>
      </c>
      <c r="B422" t="s">
        <v>5181</v>
      </c>
      <c r="C422" t="s">
        <v>74</v>
      </c>
      <c r="D422" t="s">
        <v>74</v>
      </c>
      <c r="E422" t="s">
        <v>74</v>
      </c>
      <c r="F422" t="s">
        <v>5181</v>
      </c>
      <c r="G422" t="s">
        <v>74</v>
      </c>
      <c r="H422" t="s">
        <v>74</v>
      </c>
      <c r="I422" t="s">
        <v>5182</v>
      </c>
      <c r="J422" t="s">
        <v>5098</v>
      </c>
      <c r="K422" t="s">
        <v>74</v>
      </c>
      <c r="L422" t="s">
        <v>74</v>
      </c>
      <c r="M422" t="s">
        <v>77</v>
      </c>
      <c r="N422" t="s">
        <v>78</v>
      </c>
      <c r="O422" t="s">
        <v>74</v>
      </c>
      <c r="P422" t="s">
        <v>74</v>
      </c>
      <c r="Q422" t="s">
        <v>74</v>
      </c>
      <c r="R422" t="s">
        <v>74</v>
      </c>
      <c r="S422" t="s">
        <v>74</v>
      </c>
      <c r="T422" t="s">
        <v>74</v>
      </c>
      <c r="U422" t="s">
        <v>5183</v>
      </c>
      <c r="V422" t="s">
        <v>5184</v>
      </c>
      <c r="W422" t="s">
        <v>372</v>
      </c>
      <c r="X422" t="s">
        <v>322</v>
      </c>
      <c r="Y422" t="s">
        <v>5185</v>
      </c>
      <c r="Z422" t="s">
        <v>74</v>
      </c>
      <c r="AA422" t="s">
        <v>4397</v>
      </c>
      <c r="AB422" t="s">
        <v>3101</v>
      </c>
      <c r="AC422" t="s">
        <v>74</v>
      </c>
      <c r="AD422" t="s">
        <v>74</v>
      </c>
      <c r="AE422" t="s">
        <v>74</v>
      </c>
      <c r="AF422" t="s">
        <v>74</v>
      </c>
      <c r="AG422">
        <v>19</v>
      </c>
      <c r="AH422">
        <v>74</v>
      </c>
      <c r="AI422">
        <v>76</v>
      </c>
      <c r="AJ422">
        <v>0</v>
      </c>
      <c r="AK422">
        <v>11</v>
      </c>
      <c r="AL422" t="s">
        <v>5106</v>
      </c>
      <c r="AM422" t="s">
        <v>115</v>
      </c>
      <c r="AN422" t="s">
        <v>2856</v>
      </c>
      <c r="AO422" t="s">
        <v>5107</v>
      </c>
      <c r="AP422" t="s">
        <v>74</v>
      </c>
      <c r="AQ422" t="s">
        <v>74</v>
      </c>
      <c r="AR422" t="s">
        <v>5108</v>
      </c>
      <c r="AS422" t="s">
        <v>5109</v>
      </c>
      <c r="AT422" t="s">
        <v>74</v>
      </c>
      <c r="AU422">
        <v>1998</v>
      </c>
      <c r="AV422">
        <v>44</v>
      </c>
      <c r="AW422">
        <v>147</v>
      </c>
      <c r="AX422" t="s">
        <v>74</v>
      </c>
      <c r="AY422" t="s">
        <v>74</v>
      </c>
      <c r="AZ422" t="s">
        <v>74</v>
      </c>
      <c r="BA422" t="s">
        <v>74</v>
      </c>
      <c r="BB422">
        <v>285</v>
      </c>
      <c r="BC422">
        <v>292</v>
      </c>
      <c r="BD422" t="s">
        <v>74</v>
      </c>
      <c r="BE422" t="s">
        <v>5186</v>
      </c>
      <c r="BF422" t="str">
        <f>HYPERLINK("http://dx.doi.org/10.3189/S0022143000002628","http://dx.doi.org/10.3189/S0022143000002628")</f>
        <v>http://dx.doi.org/10.3189/S0022143000002628</v>
      </c>
      <c r="BG422" t="s">
        <v>74</v>
      </c>
      <c r="BH422" t="s">
        <v>74</v>
      </c>
      <c r="BI422">
        <v>8</v>
      </c>
      <c r="BJ422" t="s">
        <v>4239</v>
      </c>
      <c r="BK422" t="s">
        <v>98</v>
      </c>
      <c r="BL422" t="s">
        <v>4240</v>
      </c>
      <c r="BM422" t="s">
        <v>5152</v>
      </c>
      <c r="BN422" t="s">
        <v>74</v>
      </c>
      <c r="BO422" t="s">
        <v>100</v>
      </c>
      <c r="BP422" t="s">
        <v>74</v>
      </c>
      <c r="BQ422" t="s">
        <v>74</v>
      </c>
      <c r="BR422" t="s">
        <v>101</v>
      </c>
      <c r="BS422" t="s">
        <v>5187</v>
      </c>
      <c r="BT422" t="str">
        <f>HYPERLINK("https%3A%2F%2Fwww.webofscience.com%2Fwos%2Fwoscc%2Ffull-record%2FWOS:000077270400010","View Full Record in Web of Science")</f>
        <v>View Full Record in Web of Science</v>
      </c>
    </row>
    <row r="423" spans="1:72" x14ac:dyDescent="0.15">
      <c r="A423" t="s">
        <v>72</v>
      </c>
      <c r="B423" t="s">
        <v>5181</v>
      </c>
      <c r="C423" t="s">
        <v>74</v>
      </c>
      <c r="D423" t="s">
        <v>74</v>
      </c>
      <c r="E423" t="s">
        <v>74</v>
      </c>
      <c r="F423" t="s">
        <v>5181</v>
      </c>
      <c r="G423" t="s">
        <v>74</v>
      </c>
      <c r="H423" t="s">
        <v>74</v>
      </c>
      <c r="I423" t="s">
        <v>5188</v>
      </c>
      <c r="J423" t="s">
        <v>5098</v>
      </c>
      <c r="K423" t="s">
        <v>74</v>
      </c>
      <c r="L423" t="s">
        <v>74</v>
      </c>
      <c r="M423" t="s">
        <v>77</v>
      </c>
      <c r="N423" t="s">
        <v>78</v>
      </c>
      <c r="O423" t="s">
        <v>74</v>
      </c>
      <c r="P423" t="s">
        <v>74</v>
      </c>
      <c r="Q423" t="s">
        <v>74</v>
      </c>
      <c r="R423" t="s">
        <v>74</v>
      </c>
      <c r="S423" t="s">
        <v>74</v>
      </c>
      <c r="T423" t="s">
        <v>74</v>
      </c>
      <c r="U423" t="s">
        <v>5189</v>
      </c>
      <c r="V423" t="s">
        <v>5190</v>
      </c>
      <c r="W423" t="s">
        <v>372</v>
      </c>
      <c r="X423" t="s">
        <v>322</v>
      </c>
      <c r="Y423" t="s">
        <v>5185</v>
      </c>
      <c r="Z423" t="s">
        <v>74</v>
      </c>
      <c r="AA423" t="s">
        <v>4397</v>
      </c>
      <c r="AB423" t="s">
        <v>3101</v>
      </c>
      <c r="AC423" t="s">
        <v>74</v>
      </c>
      <c r="AD423" t="s">
        <v>74</v>
      </c>
      <c r="AE423" t="s">
        <v>74</v>
      </c>
      <c r="AF423" t="s">
        <v>74</v>
      </c>
      <c r="AG423">
        <v>56</v>
      </c>
      <c r="AH423">
        <v>79</v>
      </c>
      <c r="AI423">
        <v>85</v>
      </c>
      <c r="AJ423">
        <v>0</v>
      </c>
      <c r="AK423">
        <v>23</v>
      </c>
      <c r="AL423" t="s">
        <v>5106</v>
      </c>
      <c r="AM423" t="s">
        <v>115</v>
      </c>
      <c r="AN423" t="s">
        <v>2856</v>
      </c>
      <c r="AO423" t="s">
        <v>5107</v>
      </c>
      <c r="AP423" t="s">
        <v>74</v>
      </c>
      <c r="AQ423" t="s">
        <v>74</v>
      </c>
      <c r="AR423" t="s">
        <v>5108</v>
      </c>
      <c r="AS423" t="s">
        <v>5109</v>
      </c>
      <c r="AT423" t="s">
        <v>74</v>
      </c>
      <c r="AU423">
        <v>1998</v>
      </c>
      <c r="AV423">
        <v>44</v>
      </c>
      <c r="AW423">
        <v>147</v>
      </c>
      <c r="AX423" t="s">
        <v>74</v>
      </c>
      <c r="AY423" t="s">
        <v>74</v>
      </c>
      <c r="AZ423" t="s">
        <v>74</v>
      </c>
      <c r="BA423" t="s">
        <v>74</v>
      </c>
      <c r="BB423">
        <v>293</v>
      </c>
      <c r="BC423">
        <v>314</v>
      </c>
      <c r="BD423" t="s">
        <v>74</v>
      </c>
      <c r="BE423" t="s">
        <v>5191</v>
      </c>
      <c r="BF423" t="str">
        <f>HYPERLINK("http://dx.doi.org/10.3189/S002214300000263X","http://dx.doi.org/10.3189/S002214300000263X")</f>
        <v>http://dx.doi.org/10.3189/S002214300000263X</v>
      </c>
      <c r="BG423" t="s">
        <v>74</v>
      </c>
      <c r="BH423" t="s">
        <v>74</v>
      </c>
      <c r="BI423">
        <v>22</v>
      </c>
      <c r="BJ423" t="s">
        <v>4239</v>
      </c>
      <c r="BK423" t="s">
        <v>98</v>
      </c>
      <c r="BL423" t="s">
        <v>4240</v>
      </c>
      <c r="BM423" t="s">
        <v>5152</v>
      </c>
      <c r="BN423" t="s">
        <v>74</v>
      </c>
      <c r="BO423" t="s">
        <v>100</v>
      </c>
      <c r="BP423" t="s">
        <v>74</v>
      </c>
      <c r="BQ423" t="s">
        <v>74</v>
      </c>
      <c r="BR423" t="s">
        <v>101</v>
      </c>
      <c r="BS423" t="s">
        <v>5192</v>
      </c>
      <c r="BT423" t="str">
        <f>HYPERLINK("https%3A%2F%2Fwww.webofscience.com%2Fwos%2Fwoscc%2Ffull-record%2FWOS:000077270400011","View Full Record in Web of Science")</f>
        <v>View Full Record in Web of Science</v>
      </c>
    </row>
    <row r="424" spans="1:72" x14ac:dyDescent="0.15">
      <c r="A424" t="s">
        <v>72</v>
      </c>
      <c r="B424" t="s">
        <v>5193</v>
      </c>
      <c r="C424" t="s">
        <v>74</v>
      </c>
      <c r="D424" t="s">
        <v>74</v>
      </c>
      <c r="E424" t="s">
        <v>74</v>
      </c>
      <c r="F424" t="s">
        <v>5193</v>
      </c>
      <c r="G424" t="s">
        <v>74</v>
      </c>
      <c r="H424" t="s">
        <v>74</v>
      </c>
      <c r="I424" t="s">
        <v>5194</v>
      </c>
      <c r="J424" t="s">
        <v>5098</v>
      </c>
      <c r="K424" t="s">
        <v>74</v>
      </c>
      <c r="L424" t="s">
        <v>74</v>
      </c>
      <c r="M424" t="s">
        <v>77</v>
      </c>
      <c r="N424" t="s">
        <v>78</v>
      </c>
      <c r="O424" t="s">
        <v>74</v>
      </c>
      <c r="P424" t="s">
        <v>74</v>
      </c>
      <c r="Q424" t="s">
        <v>74</v>
      </c>
      <c r="R424" t="s">
        <v>74</v>
      </c>
      <c r="S424" t="s">
        <v>74</v>
      </c>
      <c r="T424" t="s">
        <v>74</v>
      </c>
      <c r="U424" t="s">
        <v>5195</v>
      </c>
      <c r="V424" t="s">
        <v>5196</v>
      </c>
      <c r="W424" t="s">
        <v>5197</v>
      </c>
      <c r="X424" t="s">
        <v>5198</v>
      </c>
      <c r="Y424" t="s">
        <v>5199</v>
      </c>
      <c r="Z424" t="s">
        <v>74</v>
      </c>
      <c r="AA424" t="s">
        <v>5200</v>
      </c>
      <c r="AB424" t="s">
        <v>5201</v>
      </c>
      <c r="AC424" t="s">
        <v>74</v>
      </c>
      <c r="AD424" t="s">
        <v>74</v>
      </c>
      <c r="AE424" t="s">
        <v>74</v>
      </c>
      <c r="AF424" t="s">
        <v>74</v>
      </c>
      <c r="AG424">
        <v>54</v>
      </c>
      <c r="AH424">
        <v>28</v>
      </c>
      <c r="AI424">
        <v>31</v>
      </c>
      <c r="AJ424">
        <v>0</v>
      </c>
      <c r="AK424">
        <v>2</v>
      </c>
      <c r="AL424" t="s">
        <v>243</v>
      </c>
      <c r="AM424" t="s">
        <v>115</v>
      </c>
      <c r="AN424" t="s">
        <v>5131</v>
      </c>
      <c r="AO424" t="s">
        <v>5107</v>
      </c>
      <c r="AP424" t="s">
        <v>5132</v>
      </c>
      <c r="AQ424" t="s">
        <v>74</v>
      </c>
      <c r="AR424" t="s">
        <v>5108</v>
      </c>
      <c r="AS424" t="s">
        <v>5109</v>
      </c>
      <c r="AT424" t="s">
        <v>74</v>
      </c>
      <c r="AU424">
        <v>1998</v>
      </c>
      <c r="AV424">
        <v>44</v>
      </c>
      <c r="AW424">
        <v>148</v>
      </c>
      <c r="AX424" t="s">
        <v>74</v>
      </c>
      <c r="AY424" t="s">
        <v>74</v>
      </c>
      <c r="AZ424" t="s">
        <v>74</v>
      </c>
      <c r="BA424" t="s">
        <v>74</v>
      </c>
      <c r="BB424">
        <v>437</v>
      </c>
      <c r="BC424">
        <v>447</v>
      </c>
      <c r="BD424" t="s">
        <v>74</v>
      </c>
      <c r="BE424" t="s">
        <v>5202</v>
      </c>
      <c r="BF424" t="str">
        <f>HYPERLINK("http://dx.doi.org/10.3189/S0022143000001957","http://dx.doi.org/10.3189/S0022143000001957")</f>
        <v>http://dx.doi.org/10.3189/S0022143000001957</v>
      </c>
      <c r="BG424" t="s">
        <v>74</v>
      </c>
      <c r="BH424" t="s">
        <v>74</v>
      </c>
      <c r="BI424">
        <v>11</v>
      </c>
      <c r="BJ424" t="s">
        <v>4239</v>
      </c>
      <c r="BK424" t="s">
        <v>98</v>
      </c>
      <c r="BL424" t="s">
        <v>4240</v>
      </c>
      <c r="BM424" t="s">
        <v>5203</v>
      </c>
      <c r="BN424" t="s">
        <v>74</v>
      </c>
      <c r="BO424" t="s">
        <v>100</v>
      </c>
      <c r="BP424" t="s">
        <v>74</v>
      </c>
      <c r="BQ424" t="s">
        <v>74</v>
      </c>
      <c r="BR424" t="s">
        <v>101</v>
      </c>
      <c r="BS424" t="s">
        <v>5204</v>
      </c>
      <c r="BT424" t="str">
        <f>HYPERLINK("https%3A%2F%2Fwww.webofscience.com%2Fwos%2Fwoscc%2Ffull-record%2FWOS:000078803400001","View Full Record in Web of Science")</f>
        <v>View Full Record in Web of Science</v>
      </c>
    </row>
    <row r="425" spans="1:72" x14ac:dyDescent="0.15">
      <c r="A425" t="s">
        <v>72</v>
      </c>
      <c r="B425" t="s">
        <v>5205</v>
      </c>
      <c r="C425" t="s">
        <v>74</v>
      </c>
      <c r="D425" t="s">
        <v>74</v>
      </c>
      <c r="E425" t="s">
        <v>74</v>
      </c>
      <c r="F425" t="s">
        <v>5205</v>
      </c>
      <c r="G425" t="s">
        <v>74</v>
      </c>
      <c r="H425" t="s">
        <v>74</v>
      </c>
      <c r="I425" t="s">
        <v>5206</v>
      </c>
      <c r="J425" t="s">
        <v>5098</v>
      </c>
      <c r="K425" t="s">
        <v>74</v>
      </c>
      <c r="L425" t="s">
        <v>74</v>
      </c>
      <c r="M425" t="s">
        <v>77</v>
      </c>
      <c r="N425" t="s">
        <v>78</v>
      </c>
      <c r="O425" t="s">
        <v>74</v>
      </c>
      <c r="P425" t="s">
        <v>74</v>
      </c>
      <c r="Q425" t="s">
        <v>74</v>
      </c>
      <c r="R425" t="s">
        <v>74</v>
      </c>
      <c r="S425" t="s">
        <v>74</v>
      </c>
      <c r="T425" t="s">
        <v>74</v>
      </c>
      <c r="U425" t="s">
        <v>5207</v>
      </c>
      <c r="V425" t="s">
        <v>5208</v>
      </c>
      <c r="W425" t="s">
        <v>5209</v>
      </c>
      <c r="X425" t="s">
        <v>2795</v>
      </c>
      <c r="Y425" t="s">
        <v>5210</v>
      </c>
      <c r="Z425" t="s">
        <v>74</v>
      </c>
      <c r="AA425" t="s">
        <v>5211</v>
      </c>
      <c r="AB425" t="s">
        <v>74</v>
      </c>
      <c r="AC425" t="s">
        <v>74</v>
      </c>
      <c r="AD425" t="s">
        <v>74</v>
      </c>
      <c r="AE425" t="s">
        <v>74</v>
      </c>
      <c r="AF425" t="s">
        <v>74</v>
      </c>
      <c r="AG425">
        <v>8</v>
      </c>
      <c r="AH425">
        <v>13</v>
      </c>
      <c r="AI425">
        <v>14</v>
      </c>
      <c r="AJ425">
        <v>0</v>
      </c>
      <c r="AK425">
        <v>7</v>
      </c>
      <c r="AL425" t="s">
        <v>5106</v>
      </c>
      <c r="AM425" t="s">
        <v>115</v>
      </c>
      <c r="AN425" t="s">
        <v>2856</v>
      </c>
      <c r="AO425" t="s">
        <v>5107</v>
      </c>
      <c r="AP425" t="s">
        <v>74</v>
      </c>
      <c r="AQ425" t="s">
        <v>74</v>
      </c>
      <c r="AR425" t="s">
        <v>5108</v>
      </c>
      <c r="AS425" t="s">
        <v>5109</v>
      </c>
      <c r="AT425" t="s">
        <v>74</v>
      </c>
      <c r="AU425">
        <v>1998</v>
      </c>
      <c r="AV425">
        <v>44</v>
      </c>
      <c r="AW425">
        <v>148</v>
      </c>
      <c r="AX425" t="s">
        <v>74</v>
      </c>
      <c r="AY425" t="s">
        <v>74</v>
      </c>
      <c r="AZ425" t="s">
        <v>74</v>
      </c>
      <c r="BA425" t="s">
        <v>74</v>
      </c>
      <c r="BB425">
        <v>467</v>
      </c>
      <c r="BC425">
        <v>468</v>
      </c>
      <c r="BD425" t="s">
        <v>74</v>
      </c>
      <c r="BE425" t="s">
        <v>5212</v>
      </c>
      <c r="BF425" t="str">
        <f>HYPERLINK("http://dx.doi.org/10.3189/S0022143000001982","http://dx.doi.org/10.3189/S0022143000001982")</f>
        <v>http://dx.doi.org/10.3189/S0022143000001982</v>
      </c>
      <c r="BG425" t="s">
        <v>74</v>
      </c>
      <c r="BH425" t="s">
        <v>74</v>
      </c>
      <c r="BI425">
        <v>2</v>
      </c>
      <c r="BJ425" t="s">
        <v>4239</v>
      </c>
      <c r="BK425" t="s">
        <v>98</v>
      </c>
      <c r="BL425" t="s">
        <v>4240</v>
      </c>
      <c r="BM425" t="s">
        <v>5203</v>
      </c>
      <c r="BN425" t="s">
        <v>74</v>
      </c>
      <c r="BO425" t="s">
        <v>100</v>
      </c>
      <c r="BP425" t="s">
        <v>74</v>
      </c>
      <c r="BQ425" t="s">
        <v>74</v>
      </c>
      <c r="BR425" t="s">
        <v>101</v>
      </c>
      <c r="BS425" t="s">
        <v>5213</v>
      </c>
      <c r="BT425" t="str">
        <f>HYPERLINK("https%3A%2F%2Fwww.webofscience.com%2Fwos%2Fwoscc%2Ffull-record%2FWOS:000078803400004","View Full Record in Web of Science")</f>
        <v>View Full Record in Web of Science</v>
      </c>
    </row>
    <row r="426" spans="1:72" x14ac:dyDescent="0.15">
      <c r="A426" t="s">
        <v>72</v>
      </c>
      <c r="B426" t="s">
        <v>5181</v>
      </c>
      <c r="C426" t="s">
        <v>74</v>
      </c>
      <c r="D426" t="s">
        <v>74</v>
      </c>
      <c r="E426" t="s">
        <v>74</v>
      </c>
      <c r="F426" t="s">
        <v>5181</v>
      </c>
      <c r="G426" t="s">
        <v>74</v>
      </c>
      <c r="H426" t="s">
        <v>74</v>
      </c>
      <c r="I426" t="s">
        <v>5214</v>
      </c>
      <c r="J426" t="s">
        <v>5098</v>
      </c>
      <c r="K426" t="s">
        <v>74</v>
      </c>
      <c r="L426" t="s">
        <v>74</v>
      </c>
      <c r="M426" t="s">
        <v>77</v>
      </c>
      <c r="N426" t="s">
        <v>78</v>
      </c>
      <c r="O426" t="s">
        <v>74</v>
      </c>
      <c r="P426" t="s">
        <v>74</v>
      </c>
      <c r="Q426" t="s">
        <v>74</v>
      </c>
      <c r="R426" t="s">
        <v>74</v>
      </c>
      <c r="S426" t="s">
        <v>74</v>
      </c>
      <c r="T426" t="s">
        <v>74</v>
      </c>
      <c r="U426" t="s">
        <v>5215</v>
      </c>
      <c r="V426" t="s">
        <v>5216</v>
      </c>
      <c r="W426" t="s">
        <v>372</v>
      </c>
      <c r="X426" t="s">
        <v>322</v>
      </c>
      <c r="Y426" t="s">
        <v>2662</v>
      </c>
      <c r="Z426" t="s">
        <v>74</v>
      </c>
      <c r="AA426" t="s">
        <v>4397</v>
      </c>
      <c r="AB426" t="s">
        <v>3101</v>
      </c>
      <c r="AC426" t="s">
        <v>74</v>
      </c>
      <c r="AD426" t="s">
        <v>74</v>
      </c>
      <c r="AE426" t="s">
        <v>74</v>
      </c>
      <c r="AF426" t="s">
        <v>74</v>
      </c>
      <c r="AG426">
        <v>67</v>
      </c>
      <c r="AH426">
        <v>20</v>
      </c>
      <c r="AI426">
        <v>22</v>
      </c>
      <c r="AJ426">
        <v>0</v>
      </c>
      <c r="AK426">
        <v>9</v>
      </c>
      <c r="AL426" t="s">
        <v>243</v>
      </c>
      <c r="AM426" t="s">
        <v>115</v>
      </c>
      <c r="AN426" t="s">
        <v>5131</v>
      </c>
      <c r="AO426" t="s">
        <v>5107</v>
      </c>
      <c r="AP426" t="s">
        <v>5132</v>
      </c>
      <c r="AQ426" t="s">
        <v>74</v>
      </c>
      <c r="AR426" t="s">
        <v>5108</v>
      </c>
      <c r="AS426" t="s">
        <v>5109</v>
      </c>
      <c r="AT426" t="s">
        <v>74</v>
      </c>
      <c r="AU426">
        <v>1998</v>
      </c>
      <c r="AV426">
        <v>44</v>
      </c>
      <c r="AW426">
        <v>148</v>
      </c>
      <c r="AX426" t="s">
        <v>74</v>
      </c>
      <c r="AY426" t="s">
        <v>74</v>
      </c>
      <c r="AZ426" t="s">
        <v>74</v>
      </c>
      <c r="BA426" t="s">
        <v>74</v>
      </c>
      <c r="BB426">
        <v>589</v>
      </c>
      <c r="BC426">
        <v>614</v>
      </c>
      <c r="BD426" t="s">
        <v>74</v>
      </c>
      <c r="BE426" t="s">
        <v>5217</v>
      </c>
      <c r="BF426" t="str">
        <f>HYPERLINK("http://dx.doi.org/10.3189/S0022143000002100","http://dx.doi.org/10.3189/S0022143000002100")</f>
        <v>http://dx.doi.org/10.3189/S0022143000002100</v>
      </c>
      <c r="BG426" t="s">
        <v>74</v>
      </c>
      <c r="BH426" t="s">
        <v>74</v>
      </c>
      <c r="BI426">
        <v>26</v>
      </c>
      <c r="BJ426" t="s">
        <v>4239</v>
      </c>
      <c r="BK426" t="s">
        <v>98</v>
      </c>
      <c r="BL426" t="s">
        <v>4240</v>
      </c>
      <c r="BM426" t="s">
        <v>5203</v>
      </c>
      <c r="BN426" t="s">
        <v>74</v>
      </c>
      <c r="BO426" t="s">
        <v>100</v>
      </c>
      <c r="BP426" t="s">
        <v>74</v>
      </c>
      <c r="BQ426" t="s">
        <v>74</v>
      </c>
      <c r="BR426" t="s">
        <v>101</v>
      </c>
      <c r="BS426" t="s">
        <v>5218</v>
      </c>
      <c r="BT426" t="str">
        <f>HYPERLINK("https%3A%2F%2Fwww.webofscience.com%2Fwos%2Fwoscc%2Ffull-record%2FWOS:000078803400016","View Full Record in Web of Science")</f>
        <v>View Full Record in Web of Science</v>
      </c>
    </row>
    <row r="427" spans="1:72" x14ac:dyDescent="0.15">
      <c r="A427" t="s">
        <v>72</v>
      </c>
      <c r="B427" t="s">
        <v>5219</v>
      </c>
      <c r="C427" t="s">
        <v>74</v>
      </c>
      <c r="D427" t="s">
        <v>74</v>
      </c>
      <c r="E427" t="s">
        <v>74</v>
      </c>
      <c r="F427" t="s">
        <v>5219</v>
      </c>
      <c r="G427" t="s">
        <v>74</v>
      </c>
      <c r="H427" t="s">
        <v>74</v>
      </c>
      <c r="I427" t="s">
        <v>5220</v>
      </c>
      <c r="J427" t="s">
        <v>5098</v>
      </c>
      <c r="K427" t="s">
        <v>74</v>
      </c>
      <c r="L427" t="s">
        <v>74</v>
      </c>
      <c r="M427" t="s">
        <v>77</v>
      </c>
      <c r="N427" t="s">
        <v>78</v>
      </c>
      <c r="O427" t="s">
        <v>74</v>
      </c>
      <c r="P427" t="s">
        <v>74</v>
      </c>
      <c r="Q427" t="s">
        <v>74</v>
      </c>
      <c r="R427" t="s">
        <v>74</v>
      </c>
      <c r="S427" t="s">
        <v>74</v>
      </c>
      <c r="T427" t="s">
        <v>74</v>
      </c>
      <c r="U427" t="s">
        <v>5221</v>
      </c>
      <c r="V427" t="s">
        <v>5222</v>
      </c>
      <c r="W427" t="s">
        <v>5223</v>
      </c>
      <c r="X427" t="s">
        <v>5224</v>
      </c>
      <c r="Y427" t="s">
        <v>5225</v>
      </c>
      <c r="Z427" t="s">
        <v>74</v>
      </c>
      <c r="AA427" t="s">
        <v>74</v>
      </c>
      <c r="AB427" t="s">
        <v>74</v>
      </c>
      <c r="AC427" t="s">
        <v>74</v>
      </c>
      <c r="AD427" t="s">
        <v>74</v>
      </c>
      <c r="AE427" t="s">
        <v>74</v>
      </c>
      <c r="AF427" t="s">
        <v>74</v>
      </c>
      <c r="AG427">
        <v>80</v>
      </c>
      <c r="AH427">
        <v>103</v>
      </c>
      <c r="AI427">
        <v>118</v>
      </c>
      <c r="AJ427">
        <v>0</v>
      </c>
      <c r="AK427">
        <v>7</v>
      </c>
      <c r="AL427" t="s">
        <v>5106</v>
      </c>
      <c r="AM427" t="s">
        <v>115</v>
      </c>
      <c r="AN427" t="s">
        <v>2856</v>
      </c>
      <c r="AO427" t="s">
        <v>5107</v>
      </c>
      <c r="AP427" t="s">
        <v>74</v>
      </c>
      <c r="AQ427" t="s">
        <v>74</v>
      </c>
      <c r="AR427" t="s">
        <v>5108</v>
      </c>
      <c r="AS427" t="s">
        <v>5109</v>
      </c>
      <c r="AT427" t="s">
        <v>74</v>
      </c>
      <c r="AU427">
        <v>1998</v>
      </c>
      <c r="AV427">
        <v>44</v>
      </c>
      <c r="AW427">
        <v>148</v>
      </c>
      <c r="AX427" t="s">
        <v>74</v>
      </c>
      <c r="AY427" t="s">
        <v>74</v>
      </c>
      <c r="AZ427" t="s">
        <v>74</v>
      </c>
      <c r="BA427" t="s">
        <v>74</v>
      </c>
      <c r="BB427">
        <v>659</v>
      </c>
      <c r="BC427">
        <v>669</v>
      </c>
      <c r="BD427" t="s">
        <v>74</v>
      </c>
      <c r="BE427" t="s">
        <v>5226</v>
      </c>
      <c r="BF427" t="str">
        <f>HYPERLINK("http://dx.doi.org/10.3189/S0022143000002161","http://dx.doi.org/10.3189/S0022143000002161")</f>
        <v>http://dx.doi.org/10.3189/S0022143000002161</v>
      </c>
      <c r="BG427" t="s">
        <v>74</v>
      </c>
      <c r="BH427" t="s">
        <v>74</v>
      </c>
      <c r="BI427">
        <v>11</v>
      </c>
      <c r="BJ427" t="s">
        <v>4239</v>
      </c>
      <c r="BK427" t="s">
        <v>98</v>
      </c>
      <c r="BL427" t="s">
        <v>4240</v>
      </c>
      <c r="BM427" t="s">
        <v>5203</v>
      </c>
      <c r="BN427" t="s">
        <v>74</v>
      </c>
      <c r="BO427" t="s">
        <v>637</v>
      </c>
      <c r="BP427" t="s">
        <v>74</v>
      </c>
      <c r="BQ427" t="s">
        <v>74</v>
      </c>
      <c r="BR427" t="s">
        <v>101</v>
      </c>
      <c r="BS427" t="s">
        <v>5227</v>
      </c>
      <c r="BT427" t="str">
        <f>HYPERLINK("https%3A%2F%2Fwww.webofscience.com%2Fwos%2Fwoscc%2Ffull-record%2FWOS:000078803400022","View Full Record in Web of Science")</f>
        <v>View Full Record in Web of Science</v>
      </c>
    </row>
    <row r="428" spans="1:72" x14ac:dyDescent="0.15">
      <c r="A428" t="s">
        <v>72</v>
      </c>
      <c r="B428" t="s">
        <v>5228</v>
      </c>
      <c r="C428" t="s">
        <v>74</v>
      </c>
      <c r="D428" t="s">
        <v>74</v>
      </c>
      <c r="E428" t="s">
        <v>74</v>
      </c>
      <c r="F428" t="s">
        <v>5228</v>
      </c>
      <c r="G428" t="s">
        <v>74</v>
      </c>
      <c r="H428" t="s">
        <v>74</v>
      </c>
      <c r="I428" t="s">
        <v>5229</v>
      </c>
      <c r="J428" t="s">
        <v>5098</v>
      </c>
      <c r="K428" t="s">
        <v>74</v>
      </c>
      <c r="L428" t="s">
        <v>74</v>
      </c>
      <c r="M428" t="s">
        <v>77</v>
      </c>
      <c r="N428" t="s">
        <v>1249</v>
      </c>
      <c r="O428" t="s">
        <v>74</v>
      </c>
      <c r="P428" t="s">
        <v>74</v>
      </c>
      <c r="Q428" t="s">
        <v>74</v>
      </c>
      <c r="R428" t="s">
        <v>74</v>
      </c>
      <c r="S428" t="s">
        <v>74</v>
      </c>
      <c r="T428" t="s">
        <v>74</v>
      </c>
      <c r="U428" t="s">
        <v>5230</v>
      </c>
      <c r="V428" t="s">
        <v>74</v>
      </c>
      <c r="W428" t="s">
        <v>3141</v>
      </c>
      <c r="X428" t="s">
        <v>672</v>
      </c>
      <c r="Y428" t="s">
        <v>3309</v>
      </c>
      <c r="Z428" t="s">
        <v>74</v>
      </c>
      <c r="AA428" t="s">
        <v>74</v>
      </c>
      <c r="AB428" t="s">
        <v>74</v>
      </c>
      <c r="AC428" t="s">
        <v>74</v>
      </c>
      <c r="AD428" t="s">
        <v>74</v>
      </c>
      <c r="AE428" t="s">
        <v>74</v>
      </c>
      <c r="AF428" t="s">
        <v>74</v>
      </c>
      <c r="AG428">
        <v>6</v>
      </c>
      <c r="AH428">
        <v>3</v>
      </c>
      <c r="AI428">
        <v>3</v>
      </c>
      <c r="AJ428">
        <v>0</v>
      </c>
      <c r="AK428">
        <v>1</v>
      </c>
      <c r="AL428" t="s">
        <v>5106</v>
      </c>
      <c r="AM428" t="s">
        <v>115</v>
      </c>
      <c r="AN428" t="s">
        <v>2856</v>
      </c>
      <c r="AO428" t="s">
        <v>5107</v>
      </c>
      <c r="AP428" t="s">
        <v>74</v>
      </c>
      <c r="AQ428" t="s">
        <v>74</v>
      </c>
      <c r="AR428" t="s">
        <v>5108</v>
      </c>
      <c r="AS428" t="s">
        <v>5109</v>
      </c>
      <c r="AT428" t="s">
        <v>74</v>
      </c>
      <c r="AU428">
        <v>1998</v>
      </c>
      <c r="AV428">
        <v>44</v>
      </c>
      <c r="AW428">
        <v>148</v>
      </c>
      <c r="AX428" t="s">
        <v>74</v>
      </c>
      <c r="AY428" t="s">
        <v>74</v>
      </c>
      <c r="AZ428" t="s">
        <v>74</v>
      </c>
      <c r="BA428" t="s">
        <v>74</v>
      </c>
      <c r="BB428">
        <v>670</v>
      </c>
      <c r="BC428">
        <v>672</v>
      </c>
      <c r="BD428" t="s">
        <v>74</v>
      </c>
      <c r="BE428" t="s">
        <v>5231</v>
      </c>
      <c r="BF428" t="str">
        <f>HYPERLINK("http://dx.doi.org/10.3189/S0022143000002173","http://dx.doi.org/10.3189/S0022143000002173")</f>
        <v>http://dx.doi.org/10.3189/S0022143000002173</v>
      </c>
      <c r="BG428" t="s">
        <v>74</v>
      </c>
      <c r="BH428" t="s">
        <v>74</v>
      </c>
      <c r="BI428">
        <v>3</v>
      </c>
      <c r="BJ428" t="s">
        <v>4239</v>
      </c>
      <c r="BK428" t="s">
        <v>98</v>
      </c>
      <c r="BL428" t="s">
        <v>4240</v>
      </c>
      <c r="BM428" t="s">
        <v>5203</v>
      </c>
      <c r="BN428" t="s">
        <v>74</v>
      </c>
      <c r="BO428" t="s">
        <v>100</v>
      </c>
      <c r="BP428" t="s">
        <v>74</v>
      </c>
      <c r="BQ428" t="s">
        <v>74</v>
      </c>
      <c r="BR428" t="s">
        <v>101</v>
      </c>
      <c r="BS428" t="s">
        <v>5232</v>
      </c>
      <c r="BT428" t="str">
        <f>HYPERLINK("https%3A%2F%2Fwww.webofscience.com%2Fwos%2Fwoscc%2Ffull-record%2FWOS:000078803400023","View Full Record in Web of Science")</f>
        <v>View Full Record in Web of Science</v>
      </c>
    </row>
    <row r="429" spans="1:72" x14ac:dyDescent="0.15">
      <c r="A429" t="s">
        <v>72</v>
      </c>
      <c r="B429" t="s">
        <v>5233</v>
      </c>
      <c r="C429" t="s">
        <v>74</v>
      </c>
      <c r="D429" t="s">
        <v>74</v>
      </c>
      <c r="E429" t="s">
        <v>74</v>
      </c>
      <c r="F429" t="s">
        <v>5233</v>
      </c>
      <c r="G429" t="s">
        <v>74</v>
      </c>
      <c r="H429" t="s">
        <v>74</v>
      </c>
      <c r="I429" t="s">
        <v>5234</v>
      </c>
      <c r="J429" t="s">
        <v>5098</v>
      </c>
      <c r="K429" t="s">
        <v>74</v>
      </c>
      <c r="L429" t="s">
        <v>74</v>
      </c>
      <c r="M429" t="s">
        <v>77</v>
      </c>
      <c r="N429" t="s">
        <v>1249</v>
      </c>
      <c r="O429" t="s">
        <v>74</v>
      </c>
      <c r="P429" t="s">
        <v>74</v>
      </c>
      <c r="Q429" t="s">
        <v>74</v>
      </c>
      <c r="R429" t="s">
        <v>74</v>
      </c>
      <c r="S429" t="s">
        <v>74</v>
      </c>
      <c r="T429" t="s">
        <v>74</v>
      </c>
      <c r="U429" t="s">
        <v>74</v>
      </c>
      <c r="V429" t="s">
        <v>74</v>
      </c>
      <c r="W429" t="s">
        <v>3141</v>
      </c>
      <c r="X429" t="s">
        <v>672</v>
      </c>
      <c r="Y429" t="s">
        <v>5235</v>
      </c>
      <c r="Z429" t="s">
        <v>74</v>
      </c>
      <c r="AA429" t="s">
        <v>74</v>
      </c>
      <c r="AB429" t="s">
        <v>74</v>
      </c>
      <c r="AC429" t="s">
        <v>74</v>
      </c>
      <c r="AD429" t="s">
        <v>74</v>
      </c>
      <c r="AE429" t="s">
        <v>74</v>
      </c>
      <c r="AF429" t="s">
        <v>74</v>
      </c>
      <c r="AG429">
        <v>4</v>
      </c>
      <c r="AH429">
        <v>2</v>
      </c>
      <c r="AI429">
        <v>2</v>
      </c>
      <c r="AJ429">
        <v>0</v>
      </c>
      <c r="AK429">
        <v>0</v>
      </c>
      <c r="AL429" t="s">
        <v>5106</v>
      </c>
      <c r="AM429" t="s">
        <v>115</v>
      </c>
      <c r="AN429" t="s">
        <v>2856</v>
      </c>
      <c r="AO429" t="s">
        <v>5107</v>
      </c>
      <c r="AP429" t="s">
        <v>74</v>
      </c>
      <c r="AQ429" t="s">
        <v>74</v>
      </c>
      <c r="AR429" t="s">
        <v>5108</v>
      </c>
      <c r="AS429" t="s">
        <v>5109</v>
      </c>
      <c r="AT429" t="s">
        <v>74</v>
      </c>
      <c r="AU429">
        <v>1998</v>
      </c>
      <c r="AV429">
        <v>44</v>
      </c>
      <c r="AW429">
        <v>148</v>
      </c>
      <c r="AX429" t="s">
        <v>74</v>
      </c>
      <c r="AY429" t="s">
        <v>74</v>
      </c>
      <c r="AZ429" t="s">
        <v>74</v>
      </c>
      <c r="BA429" t="s">
        <v>74</v>
      </c>
      <c r="BB429">
        <v>672</v>
      </c>
      <c r="BC429">
        <v>673</v>
      </c>
      <c r="BD429" t="s">
        <v>74</v>
      </c>
      <c r="BE429" t="s">
        <v>5236</v>
      </c>
      <c r="BF429" t="str">
        <f>HYPERLINK("http://dx.doi.org/10.3189/S0022143000002185","http://dx.doi.org/10.3189/S0022143000002185")</f>
        <v>http://dx.doi.org/10.3189/S0022143000002185</v>
      </c>
      <c r="BG429" t="s">
        <v>74</v>
      </c>
      <c r="BH429" t="s">
        <v>74</v>
      </c>
      <c r="BI429">
        <v>2</v>
      </c>
      <c r="BJ429" t="s">
        <v>4239</v>
      </c>
      <c r="BK429" t="s">
        <v>98</v>
      </c>
      <c r="BL429" t="s">
        <v>4240</v>
      </c>
      <c r="BM429" t="s">
        <v>5203</v>
      </c>
      <c r="BN429" t="s">
        <v>74</v>
      </c>
      <c r="BO429" t="s">
        <v>100</v>
      </c>
      <c r="BP429" t="s">
        <v>74</v>
      </c>
      <c r="BQ429" t="s">
        <v>74</v>
      </c>
      <c r="BR429" t="s">
        <v>101</v>
      </c>
      <c r="BS429" t="s">
        <v>5237</v>
      </c>
      <c r="BT429" t="str">
        <f>HYPERLINK("https%3A%2F%2Fwww.webofscience.com%2Fwos%2Fwoscc%2Ffull-record%2FWOS:000078803400024","View Full Record in Web of Science")</f>
        <v>View Full Record in Web of Science</v>
      </c>
    </row>
    <row r="430" spans="1:72" x14ac:dyDescent="0.15">
      <c r="A430" t="s">
        <v>72</v>
      </c>
      <c r="B430" t="s">
        <v>5238</v>
      </c>
      <c r="C430" t="s">
        <v>74</v>
      </c>
      <c r="D430" t="s">
        <v>74</v>
      </c>
      <c r="E430" t="s">
        <v>74</v>
      </c>
      <c r="F430" t="s">
        <v>5238</v>
      </c>
      <c r="G430" t="s">
        <v>74</v>
      </c>
      <c r="H430" t="s">
        <v>74</v>
      </c>
      <c r="I430" t="s">
        <v>5239</v>
      </c>
      <c r="J430" t="s">
        <v>5240</v>
      </c>
      <c r="K430" t="s">
        <v>74</v>
      </c>
      <c r="L430" t="s">
        <v>74</v>
      </c>
      <c r="M430" t="s">
        <v>77</v>
      </c>
      <c r="N430" t="s">
        <v>78</v>
      </c>
      <c r="O430" t="s">
        <v>74</v>
      </c>
      <c r="P430" t="s">
        <v>74</v>
      </c>
      <c r="Q430" t="s">
        <v>74</v>
      </c>
      <c r="R430" t="s">
        <v>74</v>
      </c>
      <c r="S430" t="s">
        <v>74</v>
      </c>
      <c r="T430" t="s">
        <v>74</v>
      </c>
      <c r="U430" t="s">
        <v>74</v>
      </c>
      <c r="V430" t="s">
        <v>5241</v>
      </c>
      <c r="W430" t="s">
        <v>5242</v>
      </c>
      <c r="X430" t="s">
        <v>5243</v>
      </c>
      <c r="Y430" t="s">
        <v>5244</v>
      </c>
      <c r="Z430" t="s">
        <v>74</v>
      </c>
      <c r="AA430" t="s">
        <v>74</v>
      </c>
      <c r="AB430" t="s">
        <v>74</v>
      </c>
      <c r="AC430" t="s">
        <v>74</v>
      </c>
      <c r="AD430" t="s">
        <v>74</v>
      </c>
      <c r="AE430" t="s">
        <v>74</v>
      </c>
      <c r="AF430" t="s">
        <v>74</v>
      </c>
      <c r="AG430">
        <v>16</v>
      </c>
      <c r="AH430">
        <v>10</v>
      </c>
      <c r="AI430">
        <v>12</v>
      </c>
      <c r="AJ430">
        <v>0</v>
      </c>
      <c r="AK430">
        <v>7</v>
      </c>
      <c r="AL430" t="s">
        <v>897</v>
      </c>
      <c r="AM430" t="s">
        <v>244</v>
      </c>
      <c r="AN430" t="s">
        <v>898</v>
      </c>
      <c r="AO430" t="s">
        <v>5245</v>
      </c>
      <c r="AP430" t="s">
        <v>74</v>
      </c>
      <c r="AQ430" t="s">
        <v>74</v>
      </c>
      <c r="AR430" t="s">
        <v>5246</v>
      </c>
      <c r="AS430" t="s">
        <v>5247</v>
      </c>
      <c r="AT430" t="s">
        <v>74</v>
      </c>
      <c r="AU430">
        <v>1998</v>
      </c>
      <c r="AV430">
        <v>6</v>
      </c>
      <c r="AW430">
        <v>1</v>
      </c>
      <c r="AX430" t="s">
        <v>74</v>
      </c>
      <c r="AY430" t="s">
        <v>74</v>
      </c>
      <c r="AZ430" t="s">
        <v>74</v>
      </c>
      <c r="BA430" t="s">
        <v>74</v>
      </c>
      <c r="BB430">
        <v>39</v>
      </c>
      <c r="BC430">
        <v>43</v>
      </c>
      <c r="BD430" t="s">
        <v>74</v>
      </c>
      <c r="BE430" t="s">
        <v>74</v>
      </c>
      <c r="BF430" t="s">
        <v>74</v>
      </c>
      <c r="BG430" t="s">
        <v>74</v>
      </c>
      <c r="BH430" t="s">
        <v>74</v>
      </c>
      <c r="BI430">
        <v>5</v>
      </c>
      <c r="BJ430" t="s">
        <v>5248</v>
      </c>
      <c r="BK430" t="s">
        <v>98</v>
      </c>
      <c r="BL430" t="s">
        <v>5248</v>
      </c>
      <c r="BM430" t="s">
        <v>5249</v>
      </c>
      <c r="BN430" t="s">
        <v>74</v>
      </c>
      <c r="BO430" t="s">
        <v>74</v>
      </c>
      <c r="BP430" t="s">
        <v>74</v>
      </c>
      <c r="BQ430" t="s">
        <v>74</v>
      </c>
      <c r="BR430" t="s">
        <v>101</v>
      </c>
      <c r="BS430" t="s">
        <v>5250</v>
      </c>
      <c r="BT430" t="str">
        <f>HYPERLINK("https%3A%2F%2Fwww.webofscience.com%2Fwos%2Fwoscc%2Ffull-record%2FWOS:000071889200009","View Full Record in Web of Science")</f>
        <v>View Full Record in Web of Science</v>
      </c>
    </row>
    <row r="431" spans="1:72" x14ac:dyDescent="0.15">
      <c r="A431" t="s">
        <v>72</v>
      </c>
      <c r="B431" t="s">
        <v>5251</v>
      </c>
      <c r="C431" t="s">
        <v>74</v>
      </c>
      <c r="D431" t="s">
        <v>74</v>
      </c>
      <c r="E431" t="s">
        <v>74</v>
      </c>
      <c r="F431" t="s">
        <v>5251</v>
      </c>
      <c r="G431" t="s">
        <v>74</v>
      </c>
      <c r="H431" t="s">
        <v>74</v>
      </c>
      <c r="I431" t="s">
        <v>5252</v>
      </c>
      <c r="J431" t="s">
        <v>5240</v>
      </c>
      <c r="K431" t="s">
        <v>74</v>
      </c>
      <c r="L431" t="s">
        <v>74</v>
      </c>
      <c r="M431" t="s">
        <v>77</v>
      </c>
      <c r="N431" t="s">
        <v>78</v>
      </c>
      <c r="O431" t="s">
        <v>74</v>
      </c>
      <c r="P431" t="s">
        <v>74</v>
      </c>
      <c r="Q431" t="s">
        <v>74</v>
      </c>
      <c r="R431" t="s">
        <v>74</v>
      </c>
      <c r="S431" t="s">
        <v>74</v>
      </c>
      <c r="T431" t="s">
        <v>74</v>
      </c>
      <c r="U431" t="s">
        <v>5253</v>
      </c>
      <c r="V431" t="s">
        <v>5254</v>
      </c>
      <c r="W431" t="s">
        <v>5255</v>
      </c>
      <c r="X431" t="s">
        <v>5256</v>
      </c>
      <c r="Y431" t="s">
        <v>5257</v>
      </c>
      <c r="Z431" t="s">
        <v>5258</v>
      </c>
      <c r="AA431" t="s">
        <v>74</v>
      </c>
      <c r="AB431" t="s">
        <v>74</v>
      </c>
      <c r="AC431" t="s">
        <v>74</v>
      </c>
      <c r="AD431" t="s">
        <v>74</v>
      </c>
      <c r="AE431" t="s">
        <v>74</v>
      </c>
      <c r="AF431" t="s">
        <v>74</v>
      </c>
      <c r="AG431">
        <v>30</v>
      </c>
      <c r="AH431">
        <v>30</v>
      </c>
      <c r="AI431">
        <v>38</v>
      </c>
      <c r="AJ431">
        <v>0</v>
      </c>
      <c r="AK431">
        <v>2</v>
      </c>
      <c r="AL431" t="s">
        <v>897</v>
      </c>
      <c r="AM431" t="s">
        <v>244</v>
      </c>
      <c r="AN431" t="s">
        <v>898</v>
      </c>
      <c r="AO431" t="s">
        <v>5245</v>
      </c>
      <c r="AP431" t="s">
        <v>74</v>
      </c>
      <c r="AQ431" t="s">
        <v>74</v>
      </c>
      <c r="AR431" t="s">
        <v>5246</v>
      </c>
      <c r="AS431" t="s">
        <v>5247</v>
      </c>
      <c r="AT431" t="s">
        <v>74</v>
      </c>
      <c r="AU431">
        <v>1998</v>
      </c>
      <c r="AV431">
        <v>6</v>
      </c>
      <c r="AW431">
        <v>4</v>
      </c>
      <c r="AX431" t="s">
        <v>74</v>
      </c>
      <c r="AY431" t="s">
        <v>74</v>
      </c>
      <c r="AZ431" t="s">
        <v>74</v>
      </c>
      <c r="BA431" t="s">
        <v>74</v>
      </c>
      <c r="BB431">
        <v>214</v>
      </c>
      <c r="BC431">
        <v>219</v>
      </c>
      <c r="BD431" t="s">
        <v>74</v>
      </c>
      <c r="BE431" t="s">
        <v>74</v>
      </c>
      <c r="BF431" t="s">
        <v>74</v>
      </c>
      <c r="BG431" t="s">
        <v>74</v>
      </c>
      <c r="BH431" t="s">
        <v>74</v>
      </c>
      <c r="BI431">
        <v>6</v>
      </c>
      <c r="BJ431" t="s">
        <v>5248</v>
      </c>
      <c r="BK431" t="s">
        <v>98</v>
      </c>
      <c r="BL431" t="s">
        <v>5248</v>
      </c>
      <c r="BM431" t="s">
        <v>5259</v>
      </c>
      <c r="BN431">
        <v>9852613</v>
      </c>
      <c r="BO431" t="s">
        <v>74</v>
      </c>
      <c r="BP431" t="s">
        <v>74</v>
      </c>
      <c r="BQ431" t="s">
        <v>74</v>
      </c>
      <c r="BR431" t="s">
        <v>101</v>
      </c>
      <c r="BS431" t="s">
        <v>5260</v>
      </c>
      <c r="BT431" t="str">
        <f>HYPERLINK("https%3A%2F%2Fwww.webofscience.com%2Fwos%2Fwoscc%2Ffull-record%2FWOS:000077781000004","View Full Record in Web of Science")</f>
        <v>View Full Record in Web of Science</v>
      </c>
    </row>
    <row r="432" spans="1:72" x14ac:dyDescent="0.15">
      <c r="A432" t="s">
        <v>72</v>
      </c>
      <c r="B432" t="s">
        <v>5261</v>
      </c>
      <c r="C432" t="s">
        <v>74</v>
      </c>
      <c r="D432" t="s">
        <v>74</v>
      </c>
      <c r="E432" t="s">
        <v>74</v>
      </c>
      <c r="F432" t="s">
        <v>5261</v>
      </c>
      <c r="G432" t="s">
        <v>74</v>
      </c>
      <c r="H432" t="s">
        <v>74</v>
      </c>
      <c r="I432" t="s">
        <v>5262</v>
      </c>
      <c r="J432" t="s">
        <v>701</v>
      </c>
      <c r="K432" t="s">
        <v>74</v>
      </c>
      <c r="L432" t="s">
        <v>74</v>
      </c>
      <c r="M432" t="s">
        <v>77</v>
      </c>
      <c r="N432" t="s">
        <v>78</v>
      </c>
      <c r="O432" t="s">
        <v>74</v>
      </c>
      <c r="P432" t="s">
        <v>74</v>
      </c>
      <c r="Q432" t="s">
        <v>74</v>
      </c>
      <c r="R432" t="s">
        <v>74</v>
      </c>
      <c r="S432" t="s">
        <v>74</v>
      </c>
      <c r="T432" t="s">
        <v>74</v>
      </c>
      <c r="U432" t="s">
        <v>5263</v>
      </c>
      <c r="V432" t="s">
        <v>5264</v>
      </c>
      <c r="W432" t="s">
        <v>5265</v>
      </c>
      <c r="X432" t="s">
        <v>5266</v>
      </c>
      <c r="Y432" t="s">
        <v>5267</v>
      </c>
      <c r="Z432" t="s">
        <v>74</v>
      </c>
      <c r="AA432" t="s">
        <v>5268</v>
      </c>
      <c r="AB432" t="s">
        <v>5269</v>
      </c>
      <c r="AC432" t="s">
        <v>74</v>
      </c>
      <c r="AD432" t="s">
        <v>74</v>
      </c>
      <c r="AE432" t="s">
        <v>74</v>
      </c>
      <c r="AF432" t="s">
        <v>74</v>
      </c>
      <c r="AG432">
        <v>10</v>
      </c>
      <c r="AH432">
        <v>10</v>
      </c>
      <c r="AI432">
        <v>11</v>
      </c>
      <c r="AJ432">
        <v>0</v>
      </c>
      <c r="AK432">
        <v>4</v>
      </c>
      <c r="AL432" t="s">
        <v>707</v>
      </c>
      <c r="AM432" t="s">
        <v>88</v>
      </c>
      <c r="AN432" t="s">
        <v>708</v>
      </c>
      <c r="AO432" t="s">
        <v>709</v>
      </c>
      <c r="AP432" t="s">
        <v>74</v>
      </c>
      <c r="AQ432" t="s">
        <v>74</v>
      </c>
      <c r="AR432" t="s">
        <v>710</v>
      </c>
      <c r="AS432" t="s">
        <v>711</v>
      </c>
      <c r="AT432" t="s">
        <v>2502</v>
      </c>
      <c r="AU432">
        <v>1998</v>
      </c>
      <c r="AV432">
        <v>61</v>
      </c>
      <c r="AW432">
        <v>1</v>
      </c>
      <c r="AX432" t="s">
        <v>74</v>
      </c>
      <c r="AY432" t="s">
        <v>74</v>
      </c>
      <c r="AZ432" t="s">
        <v>74</v>
      </c>
      <c r="BA432" t="s">
        <v>74</v>
      </c>
      <c r="BB432">
        <v>17</v>
      </c>
      <c r="BC432">
        <v>21</v>
      </c>
      <c r="BD432" t="s">
        <v>74</v>
      </c>
      <c r="BE432" t="s">
        <v>5270</v>
      </c>
      <c r="BF432" t="str">
        <f>HYPERLINK("http://dx.doi.org/10.1021/np9601162","http://dx.doi.org/10.1021/np9601162")</f>
        <v>http://dx.doi.org/10.1021/np9601162</v>
      </c>
      <c r="BG432" t="s">
        <v>74</v>
      </c>
      <c r="BH432" t="s">
        <v>74</v>
      </c>
      <c r="BI432">
        <v>5</v>
      </c>
      <c r="BJ432" t="s">
        <v>713</v>
      </c>
      <c r="BK432" t="s">
        <v>714</v>
      </c>
      <c r="BL432" t="s">
        <v>715</v>
      </c>
      <c r="BM432" t="s">
        <v>5271</v>
      </c>
      <c r="BN432">
        <v>9548828</v>
      </c>
      <c r="BO432" t="s">
        <v>74</v>
      </c>
      <c r="BP432" t="s">
        <v>74</v>
      </c>
      <c r="BQ432" t="s">
        <v>74</v>
      </c>
      <c r="BR432" t="s">
        <v>101</v>
      </c>
      <c r="BS432" t="s">
        <v>5272</v>
      </c>
      <c r="BT432" t="str">
        <f>HYPERLINK("https%3A%2F%2Fwww.webofscience.com%2Fwos%2Fwoscc%2Ffull-record%2FWOS:000071728100004","View Full Record in Web of Science")</f>
        <v>View Full Record in Web of Science</v>
      </c>
    </row>
    <row r="433" spans="1:72" x14ac:dyDescent="0.15">
      <c r="A433" t="s">
        <v>72</v>
      </c>
      <c r="B433" t="s">
        <v>5273</v>
      </c>
      <c r="C433" t="s">
        <v>74</v>
      </c>
      <c r="D433" t="s">
        <v>74</v>
      </c>
      <c r="E433" t="s">
        <v>74</v>
      </c>
      <c r="F433" t="s">
        <v>5273</v>
      </c>
      <c r="G433" t="s">
        <v>74</v>
      </c>
      <c r="H433" t="s">
        <v>74</v>
      </c>
      <c r="I433" t="s">
        <v>5274</v>
      </c>
      <c r="J433" t="s">
        <v>701</v>
      </c>
      <c r="K433" t="s">
        <v>74</v>
      </c>
      <c r="L433" t="s">
        <v>74</v>
      </c>
      <c r="M433" t="s">
        <v>77</v>
      </c>
      <c r="N433" t="s">
        <v>78</v>
      </c>
      <c r="O433" t="s">
        <v>74</v>
      </c>
      <c r="P433" t="s">
        <v>74</v>
      </c>
      <c r="Q433" t="s">
        <v>74</v>
      </c>
      <c r="R433" t="s">
        <v>74</v>
      </c>
      <c r="S433" t="s">
        <v>74</v>
      </c>
      <c r="T433" t="s">
        <v>74</v>
      </c>
      <c r="U433" t="s">
        <v>5275</v>
      </c>
      <c r="V433" t="s">
        <v>5276</v>
      </c>
      <c r="W433" t="s">
        <v>5277</v>
      </c>
      <c r="X433" t="s">
        <v>5278</v>
      </c>
      <c r="Y433" t="s">
        <v>5279</v>
      </c>
      <c r="Z433" t="s">
        <v>5280</v>
      </c>
      <c r="AA433" t="s">
        <v>1738</v>
      </c>
      <c r="AB433" t="s">
        <v>74</v>
      </c>
      <c r="AC433" t="s">
        <v>74</v>
      </c>
      <c r="AD433" t="s">
        <v>74</v>
      </c>
      <c r="AE433" t="s">
        <v>74</v>
      </c>
      <c r="AF433" t="s">
        <v>74</v>
      </c>
      <c r="AG433">
        <v>19</v>
      </c>
      <c r="AH433">
        <v>26</v>
      </c>
      <c r="AI433">
        <v>27</v>
      </c>
      <c r="AJ433">
        <v>0</v>
      </c>
      <c r="AK433">
        <v>5</v>
      </c>
      <c r="AL433" t="s">
        <v>707</v>
      </c>
      <c r="AM433" t="s">
        <v>88</v>
      </c>
      <c r="AN433" t="s">
        <v>708</v>
      </c>
      <c r="AO433" t="s">
        <v>709</v>
      </c>
      <c r="AP433" t="s">
        <v>5281</v>
      </c>
      <c r="AQ433" t="s">
        <v>74</v>
      </c>
      <c r="AR433" t="s">
        <v>710</v>
      </c>
      <c r="AS433" t="s">
        <v>711</v>
      </c>
      <c r="AT433" t="s">
        <v>2502</v>
      </c>
      <c r="AU433">
        <v>1998</v>
      </c>
      <c r="AV433">
        <v>61</v>
      </c>
      <c r="AW433">
        <v>1</v>
      </c>
      <c r="AX433" t="s">
        <v>74</v>
      </c>
      <c r="AY433" t="s">
        <v>74</v>
      </c>
      <c r="AZ433" t="s">
        <v>74</v>
      </c>
      <c r="BA433" t="s">
        <v>74</v>
      </c>
      <c r="BB433">
        <v>116</v>
      </c>
      <c r="BC433">
        <v>118</v>
      </c>
      <c r="BD433" t="s">
        <v>74</v>
      </c>
      <c r="BE433" t="s">
        <v>5282</v>
      </c>
      <c r="BF433" t="str">
        <f>HYPERLINK("http://dx.doi.org/10.1021/np970358h","http://dx.doi.org/10.1021/np970358h")</f>
        <v>http://dx.doi.org/10.1021/np970358h</v>
      </c>
      <c r="BG433" t="s">
        <v>74</v>
      </c>
      <c r="BH433" t="s">
        <v>74</v>
      </c>
      <c r="BI433">
        <v>3</v>
      </c>
      <c r="BJ433" t="s">
        <v>713</v>
      </c>
      <c r="BK433" t="s">
        <v>5283</v>
      </c>
      <c r="BL433" t="s">
        <v>715</v>
      </c>
      <c r="BM433" t="s">
        <v>5271</v>
      </c>
      <c r="BN433">
        <v>9461659</v>
      </c>
      <c r="BO433" t="s">
        <v>74</v>
      </c>
      <c r="BP433" t="s">
        <v>74</v>
      </c>
      <c r="BQ433" t="s">
        <v>74</v>
      </c>
      <c r="BR433" t="s">
        <v>101</v>
      </c>
      <c r="BS433" t="s">
        <v>5284</v>
      </c>
      <c r="BT433" t="str">
        <f>HYPERLINK("https%3A%2F%2Fwww.webofscience.com%2Fwos%2Fwoscc%2Ffull-record%2FWOS:000071728100025","View Full Record in Web of Science")</f>
        <v>View Full Record in Web of Science</v>
      </c>
    </row>
    <row r="434" spans="1:72" x14ac:dyDescent="0.15">
      <c r="A434" t="s">
        <v>72</v>
      </c>
      <c r="B434" t="s">
        <v>5285</v>
      </c>
      <c r="C434" t="s">
        <v>74</v>
      </c>
      <c r="D434" t="s">
        <v>74</v>
      </c>
      <c r="E434" t="s">
        <v>74</v>
      </c>
      <c r="F434" t="s">
        <v>5285</v>
      </c>
      <c r="G434" t="s">
        <v>74</v>
      </c>
      <c r="H434" t="s">
        <v>74</v>
      </c>
      <c r="I434" t="s">
        <v>5286</v>
      </c>
      <c r="J434" t="s">
        <v>1709</v>
      </c>
      <c r="K434" t="s">
        <v>74</v>
      </c>
      <c r="L434" t="s">
        <v>74</v>
      </c>
      <c r="M434" t="s">
        <v>77</v>
      </c>
      <c r="N434" t="s">
        <v>78</v>
      </c>
      <c r="O434" t="s">
        <v>74</v>
      </c>
      <c r="P434" t="s">
        <v>74</v>
      </c>
      <c r="Q434" t="s">
        <v>74</v>
      </c>
      <c r="R434" t="s">
        <v>74</v>
      </c>
      <c r="S434" t="s">
        <v>74</v>
      </c>
      <c r="T434" t="s">
        <v>5287</v>
      </c>
      <c r="U434" t="s">
        <v>5288</v>
      </c>
      <c r="V434" t="s">
        <v>5289</v>
      </c>
      <c r="W434" t="s">
        <v>5290</v>
      </c>
      <c r="X434" t="s">
        <v>5291</v>
      </c>
      <c r="Y434" t="s">
        <v>5292</v>
      </c>
      <c r="Z434" t="s">
        <v>74</v>
      </c>
      <c r="AA434" t="s">
        <v>5293</v>
      </c>
      <c r="AB434" t="s">
        <v>5294</v>
      </c>
      <c r="AC434" t="s">
        <v>74</v>
      </c>
      <c r="AD434" t="s">
        <v>74</v>
      </c>
      <c r="AE434" t="s">
        <v>74</v>
      </c>
      <c r="AF434" t="s">
        <v>74</v>
      </c>
      <c r="AG434">
        <v>53</v>
      </c>
      <c r="AH434">
        <v>37</v>
      </c>
      <c r="AI434">
        <v>52</v>
      </c>
      <c r="AJ434">
        <v>0</v>
      </c>
      <c r="AK434">
        <v>25</v>
      </c>
      <c r="AL434" t="s">
        <v>854</v>
      </c>
      <c r="AM434" t="s">
        <v>855</v>
      </c>
      <c r="AN434" t="s">
        <v>856</v>
      </c>
      <c r="AO434" t="s">
        <v>1719</v>
      </c>
      <c r="AP434" t="s">
        <v>74</v>
      </c>
      <c r="AQ434" t="s">
        <v>74</v>
      </c>
      <c r="AR434" t="s">
        <v>1721</v>
      </c>
      <c r="AS434" t="s">
        <v>1722</v>
      </c>
      <c r="AT434" t="s">
        <v>2502</v>
      </c>
      <c r="AU434">
        <v>1998</v>
      </c>
      <c r="AV434">
        <v>19</v>
      </c>
      <c r="AW434">
        <v>1</v>
      </c>
      <c r="AX434" t="s">
        <v>74</v>
      </c>
      <c r="AY434" t="s">
        <v>74</v>
      </c>
      <c r="AZ434" t="s">
        <v>74</v>
      </c>
      <c r="BA434" t="s">
        <v>74</v>
      </c>
      <c r="BB434">
        <v>1</v>
      </c>
      <c r="BC434">
        <v>22</v>
      </c>
      <c r="BD434" t="s">
        <v>74</v>
      </c>
      <c r="BE434" t="s">
        <v>5295</v>
      </c>
      <c r="BF434" t="str">
        <f>HYPERLINK("http://dx.doi.org/10.1023/A:1007909018527","http://dx.doi.org/10.1023/A:1007909018527")</f>
        <v>http://dx.doi.org/10.1023/A:1007909018527</v>
      </c>
      <c r="BG434" t="s">
        <v>74</v>
      </c>
      <c r="BH434" t="s">
        <v>74</v>
      </c>
      <c r="BI434">
        <v>22</v>
      </c>
      <c r="BJ434" t="s">
        <v>1724</v>
      </c>
      <c r="BK434" t="s">
        <v>98</v>
      </c>
      <c r="BL434" t="s">
        <v>1725</v>
      </c>
      <c r="BM434" t="s">
        <v>5296</v>
      </c>
      <c r="BN434" t="s">
        <v>74</v>
      </c>
      <c r="BO434" t="s">
        <v>74</v>
      </c>
      <c r="BP434" t="s">
        <v>74</v>
      </c>
      <c r="BQ434" t="s">
        <v>74</v>
      </c>
      <c r="BR434" t="s">
        <v>101</v>
      </c>
      <c r="BS434" t="s">
        <v>5297</v>
      </c>
      <c r="BT434" t="str">
        <f>HYPERLINK("https%3A%2F%2Fwww.webofscience.com%2Fwos%2Fwoscc%2Ffull-record%2FWOS:000073093300001","View Full Record in Web of Science")</f>
        <v>View Full Record in Web of Science</v>
      </c>
    </row>
    <row r="435" spans="1:72" x14ac:dyDescent="0.15">
      <c r="A435" t="s">
        <v>72</v>
      </c>
      <c r="B435" t="s">
        <v>5298</v>
      </c>
      <c r="C435" t="s">
        <v>74</v>
      </c>
      <c r="D435" t="s">
        <v>74</v>
      </c>
      <c r="E435" t="s">
        <v>74</v>
      </c>
      <c r="F435" t="s">
        <v>5298</v>
      </c>
      <c r="G435" t="s">
        <v>74</v>
      </c>
      <c r="H435" t="s">
        <v>74</v>
      </c>
      <c r="I435" t="s">
        <v>5299</v>
      </c>
      <c r="J435" t="s">
        <v>5300</v>
      </c>
      <c r="K435" t="s">
        <v>74</v>
      </c>
      <c r="L435" t="s">
        <v>74</v>
      </c>
      <c r="M435" t="s">
        <v>77</v>
      </c>
      <c r="N435" t="s">
        <v>78</v>
      </c>
      <c r="O435" t="s">
        <v>74</v>
      </c>
      <c r="P435" t="s">
        <v>74</v>
      </c>
      <c r="Q435" t="s">
        <v>74</v>
      </c>
      <c r="R435" t="s">
        <v>74</v>
      </c>
      <c r="S435" t="s">
        <v>74</v>
      </c>
      <c r="T435" t="s">
        <v>74</v>
      </c>
      <c r="U435" t="s">
        <v>5301</v>
      </c>
      <c r="V435" t="s">
        <v>5302</v>
      </c>
      <c r="W435" t="s">
        <v>758</v>
      </c>
      <c r="X435" t="s">
        <v>322</v>
      </c>
      <c r="Y435" t="s">
        <v>5303</v>
      </c>
      <c r="Z435" t="s">
        <v>74</v>
      </c>
      <c r="AA435" t="s">
        <v>74</v>
      </c>
      <c r="AB435" t="s">
        <v>74</v>
      </c>
      <c r="AC435" t="s">
        <v>74</v>
      </c>
      <c r="AD435" t="s">
        <v>74</v>
      </c>
      <c r="AE435" t="s">
        <v>74</v>
      </c>
      <c r="AF435" t="s">
        <v>74</v>
      </c>
      <c r="AG435">
        <v>43</v>
      </c>
      <c r="AH435">
        <v>14</v>
      </c>
      <c r="AI435">
        <v>16</v>
      </c>
      <c r="AJ435">
        <v>0</v>
      </c>
      <c r="AK435">
        <v>2</v>
      </c>
      <c r="AL435" t="s">
        <v>451</v>
      </c>
      <c r="AM435" t="s">
        <v>214</v>
      </c>
      <c r="AN435" t="s">
        <v>452</v>
      </c>
      <c r="AO435" t="s">
        <v>5304</v>
      </c>
      <c r="AP435" t="s">
        <v>74</v>
      </c>
      <c r="AQ435" t="s">
        <v>74</v>
      </c>
      <c r="AR435" t="s">
        <v>5305</v>
      </c>
      <c r="AS435" t="s">
        <v>5306</v>
      </c>
      <c r="AT435" t="s">
        <v>2502</v>
      </c>
      <c r="AU435">
        <v>1998</v>
      </c>
      <c r="AV435">
        <v>11</v>
      </c>
      <c r="AW435">
        <v>1</v>
      </c>
      <c r="AX435" t="s">
        <v>74</v>
      </c>
      <c r="AY435" t="s">
        <v>74</v>
      </c>
      <c r="AZ435" t="s">
        <v>74</v>
      </c>
      <c r="BA435" t="s">
        <v>74</v>
      </c>
      <c r="BB435">
        <v>1</v>
      </c>
      <c r="BC435">
        <v>21</v>
      </c>
      <c r="BD435" t="s">
        <v>74</v>
      </c>
      <c r="BE435" t="s">
        <v>5307</v>
      </c>
      <c r="BF435" t="str">
        <f>HYPERLINK("http://dx.doi.org/10.1016/S0895-9811(97)00032-1","http://dx.doi.org/10.1016/S0895-9811(97)00032-1")</f>
        <v>http://dx.doi.org/10.1016/S0895-9811(97)00032-1</v>
      </c>
      <c r="BG435" t="s">
        <v>74</v>
      </c>
      <c r="BH435" t="s">
        <v>74</v>
      </c>
      <c r="BI435">
        <v>21</v>
      </c>
      <c r="BJ435" t="s">
        <v>769</v>
      </c>
      <c r="BK435" t="s">
        <v>98</v>
      </c>
      <c r="BL435" t="s">
        <v>471</v>
      </c>
      <c r="BM435" t="s">
        <v>5308</v>
      </c>
      <c r="BN435" t="s">
        <v>74</v>
      </c>
      <c r="BO435" t="s">
        <v>74</v>
      </c>
      <c r="BP435" t="s">
        <v>74</v>
      </c>
      <c r="BQ435" t="s">
        <v>74</v>
      </c>
      <c r="BR435" t="s">
        <v>101</v>
      </c>
      <c r="BS435" t="s">
        <v>5309</v>
      </c>
      <c r="BT435" t="str">
        <f>HYPERLINK("https%3A%2F%2Fwww.webofscience.com%2Fwos%2Fwoscc%2Ffull-record%2FWOS:000074119800001","View Full Record in Web of Science")</f>
        <v>View Full Record in Web of Science</v>
      </c>
    </row>
    <row r="436" spans="1:72" x14ac:dyDescent="0.15">
      <c r="A436" t="s">
        <v>72</v>
      </c>
      <c r="B436" t="s">
        <v>5310</v>
      </c>
      <c r="C436" t="s">
        <v>74</v>
      </c>
      <c r="D436" t="s">
        <v>74</v>
      </c>
      <c r="E436" t="s">
        <v>74</v>
      </c>
      <c r="F436" t="s">
        <v>5310</v>
      </c>
      <c r="G436" t="s">
        <v>74</v>
      </c>
      <c r="H436" t="s">
        <v>74</v>
      </c>
      <c r="I436" t="s">
        <v>5311</v>
      </c>
      <c r="J436" t="s">
        <v>5312</v>
      </c>
      <c r="K436" t="s">
        <v>74</v>
      </c>
      <c r="L436" t="s">
        <v>74</v>
      </c>
      <c r="M436" t="s">
        <v>77</v>
      </c>
      <c r="N436" t="s">
        <v>379</v>
      </c>
      <c r="O436" t="s">
        <v>5313</v>
      </c>
      <c r="P436" t="s">
        <v>5314</v>
      </c>
      <c r="Q436" t="s">
        <v>5315</v>
      </c>
      <c r="R436" t="s">
        <v>74</v>
      </c>
      <c r="S436" t="s">
        <v>5316</v>
      </c>
      <c r="T436" t="s">
        <v>74</v>
      </c>
      <c r="U436" t="s">
        <v>5317</v>
      </c>
      <c r="V436" t="s">
        <v>5318</v>
      </c>
      <c r="W436" t="s">
        <v>5319</v>
      </c>
      <c r="X436" t="s">
        <v>5320</v>
      </c>
      <c r="Y436" t="s">
        <v>5321</v>
      </c>
      <c r="Z436" t="s">
        <v>74</v>
      </c>
      <c r="AA436" t="s">
        <v>5322</v>
      </c>
      <c r="AB436" t="s">
        <v>5323</v>
      </c>
      <c r="AC436" t="s">
        <v>74</v>
      </c>
      <c r="AD436" t="s">
        <v>74</v>
      </c>
      <c r="AE436" t="s">
        <v>74</v>
      </c>
      <c r="AF436" t="s">
        <v>74</v>
      </c>
      <c r="AG436">
        <v>27</v>
      </c>
      <c r="AH436">
        <v>75</v>
      </c>
      <c r="AI436">
        <v>85</v>
      </c>
      <c r="AJ436">
        <v>0</v>
      </c>
      <c r="AK436">
        <v>17</v>
      </c>
      <c r="AL436" t="s">
        <v>1632</v>
      </c>
      <c r="AM436" t="s">
        <v>1633</v>
      </c>
      <c r="AN436" t="s">
        <v>1634</v>
      </c>
      <c r="AO436" t="s">
        <v>5324</v>
      </c>
      <c r="AP436" t="s">
        <v>74</v>
      </c>
      <c r="AQ436" t="s">
        <v>74</v>
      </c>
      <c r="AR436" t="s">
        <v>5325</v>
      </c>
      <c r="AS436" t="s">
        <v>5326</v>
      </c>
      <c r="AT436" t="s">
        <v>2502</v>
      </c>
      <c r="AU436">
        <v>1998</v>
      </c>
      <c r="AV436">
        <v>103</v>
      </c>
      <c r="AW436">
        <v>1</v>
      </c>
      <c r="AX436" t="s">
        <v>74</v>
      </c>
      <c r="AY436" t="s">
        <v>74</v>
      </c>
      <c r="AZ436" t="s">
        <v>74</v>
      </c>
      <c r="BA436" t="s">
        <v>74</v>
      </c>
      <c r="BB436">
        <v>225</v>
      </c>
      <c r="BC436">
        <v>235</v>
      </c>
      <c r="BD436" t="s">
        <v>74</v>
      </c>
      <c r="BE436" t="s">
        <v>5327</v>
      </c>
      <c r="BF436" t="str">
        <f>HYPERLINK("http://dx.doi.org/10.1121/1.421469","http://dx.doi.org/10.1121/1.421469")</f>
        <v>http://dx.doi.org/10.1121/1.421469</v>
      </c>
      <c r="BG436" t="s">
        <v>74</v>
      </c>
      <c r="BH436" t="s">
        <v>74</v>
      </c>
      <c r="BI436">
        <v>11</v>
      </c>
      <c r="BJ436" t="s">
        <v>5328</v>
      </c>
      <c r="BK436" t="s">
        <v>397</v>
      </c>
      <c r="BL436" t="s">
        <v>5328</v>
      </c>
      <c r="BM436" t="s">
        <v>5329</v>
      </c>
      <c r="BN436">
        <v>9440325</v>
      </c>
      <c r="BO436" t="s">
        <v>509</v>
      </c>
      <c r="BP436" t="s">
        <v>74</v>
      </c>
      <c r="BQ436" t="s">
        <v>74</v>
      </c>
      <c r="BR436" t="s">
        <v>101</v>
      </c>
      <c r="BS436" t="s">
        <v>5330</v>
      </c>
      <c r="BT436" t="str">
        <f>HYPERLINK("https%3A%2F%2Fwww.webofscience.com%2Fwos%2Fwoscc%2Ffull-record%2FWOS:000071496900021","View Full Record in Web of Science")</f>
        <v>View Full Record in Web of Science</v>
      </c>
    </row>
    <row r="437" spans="1:72" x14ac:dyDescent="0.15">
      <c r="A437" t="s">
        <v>72</v>
      </c>
      <c r="B437" t="s">
        <v>5331</v>
      </c>
      <c r="C437" t="s">
        <v>74</v>
      </c>
      <c r="D437" t="s">
        <v>74</v>
      </c>
      <c r="E437" t="s">
        <v>74</v>
      </c>
      <c r="F437" t="s">
        <v>5331</v>
      </c>
      <c r="G437" t="s">
        <v>74</v>
      </c>
      <c r="H437" t="s">
        <v>74</v>
      </c>
      <c r="I437" t="s">
        <v>5332</v>
      </c>
      <c r="J437" t="s">
        <v>5312</v>
      </c>
      <c r="K437" t="s">
        <v>74</v>
      </c>
      <c r="L437" t="s">
        <v>74</v>
      </c>
      <c r="M437" t="s">
        <v>77</v>
      </c>
      <c r="N437" t="s">
        <v>78</v>
      </c>
      <c r="O437" t="s">
        <v>74</v>
      </c>
      <c r="P437" t="s">
        <v>74</v>
      </c>
      <c r="Q437" t="s">
        <v>74</v>
      </c>
      <c r="R437" t="s">
        <v>74</v>
      </c>
      <c r="S437" t="s">
        <v>74</v>
      </c>
      <c r="T437" t="s">
        <v>74</v>
      </c>
      <c r="U437" t="s">
        <v>5333</v>
      </c>
      <c r="V437" t="s">
        <v>5334</v>
      </c>
      <c r="W437" t="s">
        <v>5319</v>
      </c>
      <c r="X437" t="s">
        <v>5320</v>
      </c>
      <c r="Y437" t="s">
        <v>5321</v>
      </c>
      <c r="Z437" t="s">
        <v>74</v>
      </c>
      <c r="AA437" t="s">
        <v>5322</v>
      </c>
      <c r="AB437" t="s">
        <v>5323</v>
      </c>
      <c r="AC437" t="s">
        <v>74</v>
      </c>
      <c r="AD437" t="s">
        <v>74</v>
      </c>
      <c r="AE437" t="s">
        <v>74</v>
      </c>
      <c r="AF437" t="s">
        <v>74</v>
      </c>
      <c r="AG437">
        <v>38</v>
      </c>
      <c r="AH437">
        <v>133</v>
      </c>
      <c r="AI437">
        <v>155</v>
      </c>
      <c r="AJ437">
        <v>2</v>
      </c>
      <c r="AK437">
        <v>29</v>
      </c>
      <c r="AL437" t="s">
        <v>5335</v>
      </c>
      <c r="AM437" t="s">
        <v>4379</v>
      </c>
      <c r="AN437" t="s">
        <v>5336</v>
      </c>
      <c r="AO437" t="s">
        <v>5324</v>
      </c>
      <c r="AP437" t="s">
        <v>74</v>
      </c>
      <c r="AQ437" t="s">
        <v>74</v>
      </c>
      <c r="AR437" t="s">
        <v>5325</v>
      </c>
      <c r="AS437" t="s">
        <v>5326</v>
      </c>
      <c r="AT437" t="s">
        <v>2502</v>
      </c>
      <c r="AU437">
        <v>1998</v>
      </c>
      <c r="AV437">
        <v>103</v>
      </c>
      <c r="AW437">
        <v>1</v>
      </c>
      <c r="AX437" t="s">
        <v>74</v>
      </c>
      <c r="AY437" t="s">
        <v>74</v>
      </c>
      <c r="AZ437" t="s">
        <v>74</v>
      </c>
      <c r="BA437" t="s">
        <v>74</v>
      </c>
      <c r="BB437">
        <v>236</v>
      </c>
      <c r="BC437">
        <v>253</v>
      </c>
      <c r="BD437" t="s">
        <v>74</v>
      </c>
      <c r="BE437" t="s">
        <v>5337</v>
      </c>
      <c r="BF437" t="str">
        <f>HYPERLINK("http://dx.doi.org/10.1121/1.421110","http://dx.doi.org/10.1121/1.421110")</f>
        <v>http://dx.doi.org/10.1121/1.421110</v>
      </c>
      <c r="BG437" t="s">
        <v>74</v>
      </c>
      <c r="BH437" t="s">
        <v>74</v>
      </c>
      <c r="BI437">
        <v>18</v>
      </c>
      <c r="BJ437" t="s">
        <v>5328</v>
      </c>
      <c r="BK437" t="s">
        <v>98</v>
      </c>
      <c r="BL437" t="s">
        <v>5328</v>
      </c>
      <c r="BM437" t="s">
        <v>5329</v>
      </c>
      <c r="BN437">
        <v>9440326</v>
      </c>
      <c r="BO437" t="s">
        <v>953</v>
      </c>
      <c r="BP437" t="s">
        <v>74</v>
      </c>
      <c r="BQ437" t="s">
        <v>74</v>
      </c>
      <c r="BR437" t="s">
        <v>101</v>
      </c>
      <c r="BS437" t="s">
        <v>5338</v>
      </c>
      <c r="BT437" t="str">
        <f>HYPERLINK("https%3A%2F%2Fwww.webofscience.com%2Fwos%2Fwoscc%2Ffull-record%2FWOS:000071496900022","View Full Record in Web of Science")</f>
        <v>View Full Record in Web of Science</v>
      </c>
    </row>
    <row r="438" spans="1:72" x14ac:dyDescent="0.15">
      <c r="A438" t="s">
        <v>72</v>
      </c>
      <c r="B438" t="s">
        <v>5339</v>
      </c>
      <c r="C438" t="s">
        <v>74</v>
      </c>
      <c r="D438" t="s">
        <v>74</v>
      </c>
      <c r="E438" t="s">
        <v>74</v>
      </c>
      <c r="F438" t="s">
        <v>5339</v>
      </c>
      <c r="G438" t="s">
        <v>74</v>
      </c>
      <c r="H438" t="s">
        <v>74</v>
      </c>
      <c r="I438" t="s">
        <v>5340</v>
      </c>
      <c r="J438" t="s">
        <v>5312</v>
      </c>
      <c r="K438" t="s">
        <v>74</v>
      </c>
      <c r="L438" t="s">
        <v>74</v>
      </c>
      <c r="M438" t="s">
        <v>77</v>
      </c>
      <c r="N438" t="s">
        <v>78</v>
      </c>
      <c r="O438" t="s">
        <v>74</v>
      </c>
      <c r="P438" t="s">
        <v>74</v>
      </c>
      <c r="Q438" t="s">
        <v>74</v>
      </c>
      <c r="R438" t="s">
        <v>74</v>
      </c>
      <c r="S438" t="s">
        <v>74</v>
      </c>
      <c r="T438" t="s">
        <v>74</v>
      </c>
      <c r="U438" t="s">
        <v>5341</v>
      </c>
      <c r="V438" t="s">
        <v>5342</v>
      </c>
      <c r="W438" t="s">
        <v>5319</v>
      </c>
      <c r="X438" t="s">
        <v>5320</v>
      </c>
      <c r="Y438" t="s">
        <v>5321</v>
      </c>
      <c r="Z438" t="s">
        <v>74</v>
      </c>
      <c r="AA438" t="s">
        <v>5322</v>
      </c>
      <c r="AB438" t="s">
        <v>5323</v>
      </c>
      <c r="AC438" t="s">
        <v>74</v>
      </c>
      <c r="AD438" t="s">
        <v>74</v>
      </c>
      <c r="AE438" t="s">
        <v>74</v>
      </c>
      <c r="AF438" t="s">
        <v>74</v>
      </c>
      <c r="AG438">
        <v>31</v>
      </c>
      <c r="AH438">
        <v>32</v>
      </c>
      <c r="AI438">
        <v>34</v>
      </c>
      <c r="AJ438">
        <v>1</v>
      </c>
      <c r="AK438">
        <v>9</v>
      </c>
      <c r="AL438" t="s">
        <v>5335</v>
      </c>
      <c r="AM438" t="s">
        <v>4379</v>
      </c>
      <c r="AN438" t="s">
        <v>5336</v>
      </c>
      <c r="AO438" t="s">
        <v>5324</v>
      </c>
      <c r="AP438" t="s">
        <v>74</v>
      </c>
      <c r="AQ438" t="s">
        <v>74</v>
      </c>
      <c r="AR438" t="s">
        <v>5325</v>
      </c>
      <c r="AS438" t="s">
        <v>5326</v>
      </c>
      <c r="AT438" t="s">
        <v>2502</v>
      </c>
      <c r="AU438">
        <v>1998</v>
      </c>
      <c r="AV438">
        <v>103</v>
      </c>
      <c r="AW438">
        <v>1</v>
      </c>
      <c r="AX438" t="s">
        <v>74</v>
      </c>
      <c r="AY438" t="s">
        <v>74</v>
      </c>
      <c r="AZ438" t="s">
        <v>74</v>
      </c>
      <c r="BA438" t="s">
        <v>74</v>
      </c>
      <c r="BB438">
        <v>254</v>
      </c>
      <c r="BC438">
        <v>264</v>
      </c>
      <c r="BD438" t="s">
        <v>74</v>
      </c>
      <c r="BE438" t="s">
        <v>5343</v>
      </c>
      <c r="BF438" t="str">
        <f>HYPERLINK("http://dx.doi.org/10.1121/1.421135","http://dx.doi.org/10.1121/1.421135")</f>
        <v>http://dx.doi.org/10.1121/1.421135</v>
      </c>
      <c r="BG438" t="s">
        <v>74</v>
      </c>
      <c r="BH438" t="s">
        <v>74</v>
      </c>
      <c r="BI438">
        <v>11</v>
      </c>
      <c r="BJ438" t="s">
        <v>5328</v>
      </c>
      <c r="BK438" t="s">
        <v>98</v>
      </c>
      <c r="BL438" t="s">
        <v>5328</v>
      </c>
      <c r="BM438" t="s">
        <v>5329</v>
      </c>
      <c r="BN438">
        <v>9440327</v>
      </c>
      <c r="BO438" t="s">
        <v>953</v>
      </c>
      <c r="BP438" t="s">
        <v>74</v>
      </c>
      <c r="BQ438" t="s">
        <v>74</v>
      </c>
      <c r="BR438" t="s">
        <v>101</v>
      </c>
      <c r="BS438" t="s">
        <v>5344</v>
      </c>
      <c r="BT438" t="str">
        <f>HYPERLINK("https%3A%2F%2Fwww.webofscience.com%2Fwos%2Fwoscc%2Ffull-record%2FWOS:000071496900023","View Full Record in Web of Science")</f>
        <v>View Full Record in Web of Science</v>
      </c>
    </row>
    <row r="439" spans="1:72" x14ac:dyDescent="0.15">
      <c r="A439" t="s">
        <v>72</v>
      </c>
      <c r="B439" t="s">
        <v>5345</v>
      </c>
      <c r="C439" t="s">
        <v>74</v>
      </c>
      <c r="D439" t="s">
        <v>74</v>
      </c>
      <c r="E439" t="s">
        <v>74</v>
      </c>
      <c r="F439" t="s">
        <v>5345</v>
      </c>
      <c r="G439" t="s">
        <v>74</v>
      </c>
      <c r="H439" t="s">
        <v>74</v>
      </c>
      <c r="I439" t="s">
        <v>5346</v>
      </c>
      <c r="J439" t="s">
        <v>754</v>
      </c>
      <c r="K439" t="s">
        <v>74</v>
      </c>
      <c r="L439" t="s">
        <v>74</v>
      </c>
      <c r="M439" t="s">
        <v>77</v>
      </c>
      <c r="N439" t="s">
        <v>78</v>
      </c>
      <c r="O439" t="s">
        <v>74</v>
      </c>
      <c r="P439" t="s">
        <v>74</v>
      </c>
      <c r="Q439" t="s">
        <v>74</v>
      </c>
      <c r="R439" t="s">
        <v>74</v>
      </c>
      <c r="S439" t="s">
        <v>74</v>
      </c>
      <c r="T439" t="s">
        <v>5347</v>
      </c>
      <c r="U439" t="s">
        <v>5348</v>
      </c>
      <c r="V439" t="s">
        <v>5349</v>
      </c>
      <c r="W439" t="s">
        <v>5350</v>
      </c>
      <c r="X439" t="s">
        <v>5351</v>
      </c>
      <c r="Y439" t="s">
        <v>5352</v>
      </c>
      <c r="Z439" t="s">
        <v>74</v>
      </c>
      <c r="AA439" t="s">
        <v>5353</v>
      </c>
      <c r="AB439" t="s">
        <v>74</v>
      </c>
      <c r="AC439" t="s">
        <v>74</v>
      </c>
      <c r="AD439" t="s">
        <v>74</v>
      </c>
      <c r="AE439" t="s">
        <v>74</v>
      </c>
      <c r="AF439" t="s">
        <v>74</v>
      </c>
      <c r="AG439">
        <v>37</v>
      </c>
      <c r="AH439">
        <v>61</v>
      </c>
      <c r="AI439">
        <v>62</v>
      </c>
      <c r="AJ439">
        <v>1</v>
      </c>
      <c r="AK439">
        <v>7</v>
      </c>
      <c r="AL439" t="s">
        <v>762</v>
      </c>
      <c r="AM439" t="s">
        <v>763</v>
      </c>
      <c r="AN439" t="s">
        <v>764</v>
      </c>
      <c r="AO439" t="s">
        <v>765</v>
      </c>
      <c r="AP439" t="s">
        <v>74</v>
      </c>
      <c r="AQ439" t="s">
        <v>74</v>
      </c>
      <c r="AR439" t="s">
        <v>766</v>
      </c>
      <c r="AS439" t="s">
        <v>767</v>
      </c>
      <c r="AT439" t="s">
        <v>2502</v>
      </c>
      <c r="AU439">
        <v>1998</v>
      </c>
      <c r="AV439">
        <v>155</v>
      </c>
      <c r="AW439" t="s">
        <v>74</v>
      </c>
      <c r="AX439">
        <v>1</v>
      </c>
      <c r="AY439" t="s">
        <v>74</v>
      </c>
      <c r="AZ439" t="s">
        <v>74</v>
      </c>
      <c r="BA439" t="s">
        <v>74</v>
      </c>
      <c r="BB439">
        <v>115</v>
      </c>
      <c r="BC439">
        <v>129</v>
      </c>
      <c r="BD439" t="s">
        <v>74</v>
      </c>
      <c r="BE439" t="s">
        <v>5354</v>
      </c>
      <c r="BF439" t="str">
        <f>HYPERLINK("http://dx.doi.org/10.1144/gsjgs.155.1.0115","http://dx.doi.org/10.1144/gsjgs.155.1.0115")</f>
        <v>http://dx.doi.org/10.1144/gsjgs.155.1.0115</v>
      </c>
      <c r="BG439" t="s">
        <v>74</v>
      </c>
      <c r="BH439" t="s">
        <v>74</v>
      </c>
      <c r="BI439">
        <v>15</v>
      </c>
      <c r="BJ439" t="s">
        <v>769</v>
      </c>
      <c r="BK439" t="s">
        <v>98</v>
      </c>
      <c r="BL439" t="s">
        <v>471</v>
      </c>
      <c r="BM439" t="s">
        <v>5355</v>
      </c>
      <c r="BN439" t="s">
        <v>74</v>
      </c>
      <c r="BO439" t="s">
        <v>74</v>
      </c>
      <c r="BP439" t="s">
        <v>74</v>
      </c>
      <c r="BQ439" t="s">
        <v>74</v>
      </c>
      <c r="BR439" t="s">
        <v>101</v>
      </c>
      <c r="BS439" t="s">
        <v>5356</v>
      </c>
      <c r="BT439" t="str">
        <f>HYPERLINK("https%3A%2F%2Fwww.webofscience.com%2Fwos%2Fwoscc%2Ffull-record%2FWOS:000071594500010","View Full Record in Web of Science")</f>
        <v>View Full Record in Web of Science</v>
      </c>
    </row>
    <row r="440" spans="1:72" x14ac:dyDescent="0.15">
      <c r="A440" t="s">
        <v>72</v>
      </c>
      <c r="B440" t="s">
        <v>5357</v>
      </c>
      <c r="C440" t="s">
        <v>74</v>
      </c>
      <c r="D440" t="s">
        <v>74</v>
      </c>
      <c r="E440" t="s">
        <v>74</v>
      </c>
      <c r="F440" t="s">
        <v>5357</v>
      </c>
      <c r="G440" t="s">
        <v>74</v>
      </c>
      <c r="H440" t="s">
        <v>74</v>
      </c>
      <c r="I440" t="s">
        <v>5358</v>
      </c>
      <c r="J440" t="s">
        <v>5359</v>
      </c>
      <c r="K440" t="s">
        <v>74</v>
      </c>
      <c r="L440" t="s">
        <v>74</v>
      </c>
      <c r="M440" t="s">
        <v>77</v>
      </c>
      <c r="N440" t="s">
        <v>78</v>
      </c>
      <c r="O440" t="s">
        <v>74</v>
      </c>
      <c r="P440" t="s">
        <v>74</v>
      </c>
      <c r="Q440" t="s">
        <v>74</v>
      </c>
      <c r="R440" t="s">
        <v>74</v>
      </c>
      <c r="S440" t="s">
        <v>74</v>
      </c>
      <c r="T440" t="s">
        <v>5360</v>
      </c>
      <c r="U440" t="s">
        <v>5361</v>
      </c>
      <c r="V440" t="s">
        <v>5362</v>
      </c>
      <c r="W440" t="s">
        <v>5363</v>
      </c>
      <c r="X440" t="s">
        <v>5364</v>
      </c>
      <c r="Y440" t="s">
        <v>5365</v>
      </c>
      <c r="Z440" t="s">
        <v>5366</v>
      </c>
      <c r="AA440" t="s">
        <v>74</v>
      </c>
      <c r="AB440" t="s">
        <v>74</v>
      </c>
      <c r="AC440" t="s">
        <v>74</v>
      </c>
      <c r="AD440" t="s">
        <v>74</v>
      </c>
      <c r="AE440" t="s">
        <v>74</v>
      </c>
      <c r="AF440" t="s">
        <v>74</v>
      </c>
      <c r="AG440">
        <v>36</v>
      </c>
      <c r="AH440">
        <v>22</v>
      </c>
      <c r="AI440">
        <v>24</v>
      </c>
      <c r="AJ440">
        <v>0</v>
      </c>
      <c r="AK440">
        <v>3</v>
      </c>
      <c r="AL440" t="s">
        <v>1029</v>
      </c>
      <c r="AM440" t="s">
        <v>1030</v>
      </c>
      <c r="AN440" t="s">
        <v>1031</v>
      </c>
      <c r="AO440" t="s">
        <v>5367</v>
      </c>
      <c r="AP440" t="s">
        <v>5368</v>
      </c>
      <c r="AQ440" t="s">
        <v>74</v>
      </c>
      <c r="AR440" t="s">
        <v>5369</v>
      </c>
      <c r="AS440" t="s">
        <v>5370</v>
      </c>
      <c r="AT440" t="s">
        <v>2502</v>
      </c>
      <c r="AU440">
        <v>1998</v>
      </c>
      <c r="AV440">
        <v>80</v>
      </c>
      <c r="AW440" t="s">
        <v>4809</v>
      </c>
      <c r="AX440" t="s">
        <v>74</v>
      </c>
      <c r="AY440" t="s">
        <v>74</v>
      </c>
      <c r="AZ440" t="s">
        <v>74</v>
      </c>
      <c r="BA440" t="s">
        <v>74</v>
      </c>
      <c r="BB440">
        <v>17</v>
      </c>
      <c r="BC440">
        <v>25</v>
      </c>
      <c r="BD440" t="s">
        <v>74</v>
      </c>
      <c r="BE440" t="s">
        <v>5371</v>
      </c>
      <c r="BF440" t="str">
        <f>HYPERLINK("http://dx.doi.org/10.1016/S0377-0273(97)00040-1","http://dx.doi.org/10.1016/S0377-0273(97)00040-1")</f>
        <v>http://dx.doi.org/10.1016/S0377-0273(97)00040-1</v>
      </c>
      <c r="BG440" t="s">
        <v>74</v>
      </c>
      <c r="BH440" t="s">
        <v>74</v>
      </c>
      <c r="BI440">
        <v>9</v>
      </c>
      <c r="BJ440" t="s">
        <v>769</v>
      </c>
      <c r="BK440" t="s">
        <v>98</v>
      </c>
      <c r="BL440" t="s">
        <v>471</v>
      </c>
      <c r="BM440" t="s">
        <v>5372</v>
      </c>
      <c r="BN440" t="s">
        <v>74</v>
      </c>
      <c r="BO440" t="s">
        <v>74</v>
      </c>
      <c r="BP440" t="s">
        <v>74</v>
      </c>
      <c r="BQ440" t="s">
        <v>74</v>
      </c>
      <c r="BR440" t="s">
        <v>101</v>
      </c>
      <c r="BS440" t="s">
        <v>5373</v>
      </c>
      <c r="BT440" t="str">
        <f>HYPERLINK("https%3A%2F%2Fwww.webofscience.com%2Fwos%2Fwoscc%2Ffull-record%2FWOS:000073134700002","View Full Record in Web of Science")</f>
        <v>View Full Record in Web of Science</v>
      </c>
    </row>
    <row r="441" spans="1:72" x14ac:dyDescent="0.15">
      <c r="A441" t="s">
        <v>2175</v>
      </c>
      <c r="B441" t="s">
        <v>5374</v>
      </c>
      <c r="C441" t="s">
        <v>74</v>
      </c>
      <c r="D441" t="s">
        <v>5375</v>
      </c>
      <c r="E441" t="s">
        <v>74</v>
      </c>
      <c r="F441" t="s">
        <v>5374</v>
      </c>
      <c r="G441" t="s">
        <v>74</v>
      </c>
      <c r="H441" t="s">
        <v>74</v>
      </c>
      <c r="I441" t="s">
        <v>5376</v>
      </c>
      <c r="J441" t="s">
        <v>5377</v>
      </c>
      <c r="K441" t="s">
        <v>2562</v>
      </c>
      <c r="L441" t="s">
        <v>74</v>
      </c>
      <c r="M441" t="s">
        <v>77</v>
      </c>
      <c r="N441" t="s">
        <v>2180</v>
      </c>
      <c r="O441" t="s">
        <v>5378</v>
      </c>
      <c r="P441" t="s">
        <v>5379</v>
      </c>
      <c r="Q441" t="s">
        <v>5380</v>
      </c>
      <c r="R441" t="s">
        <v>74</v>
      </c>
      <c r="S441" t="s">
        <v>74</v>
      </c>
      <c r="T441" t="s">
        <v>5381</v>
      </c>
      <c r="U441" t="s">
        <v>74</v>
      </c>
      <c r="V441" t="s">
        <v>5382</v>
      </c>
      <c r="W441" t="s">
        <v>1044</v>
      </c>
      <c r="X441" t="s">
        <v>1045</v>
      </c>
      <c r="Y441" t="s">
        <v>5383</v>
      </c>
      <c r="Z441" t="s">
        <v>74</v>
      </c>
      <c r="AA441" t="s">
        <v>5384</v>
      </c>
      <c r="AB441" t="s">
        <v>74</v>
      </c>
      <c r="AC441" t="s">
        <v>74</v>
      </c>
      <c r="AD441" t="s">
        <v>74</v>
      </c>
      <c r="AE441" t="s">
        <v>74</v>
      </c>
      <c r="AF441" t="s">
        <v>74</v>
      </c>
      <c r="AG441">
        <v>0</v>
      </c>
      <c r="AH441">
        <v>2</v>
      </c>
      <c r="AI441">
        <v>2</v>
      </c>
      <c r="AJ441">
        <v>0</v>
      </c>
      <c r="AK441">
        <v>4</v>
      </c>
      <c r="AL441" t="s">
        <v>2573</v>
      </c>
      <c r="AM441" t="s">
        <v>2574</v>
      </c>
      <c r="AN441" t="s">
        <v>2575</v>
      </c>
      <c r="AO441" t="s">
        <v>2576</v>
      </c>
      <c r="AP441" t="s">
        <v>74</v>
      </c>
      <c r="AQ441" t="s">
        <v>5385</v>
      </c>
      <c r="AR441" t="s">
        <v>2578</v>
      </c>
      <c r="AS441" t="s">
        <v>74</v>
      </c>
      <c r="AT441" t="s">
        <v>74</v>
      </c>
      <c r="AU441">
        <v>1998</v>
      </c>
      <c r="AV441">
        <v>3272</v>
      </c>
      <c r="AW441" t="s">
        <v>74</v>
      </c>
      <c r="AX441" t="s">
        <v>74</v>
      </c>
      <c r="AY441" t="s">
        <v>74</v>
      </c>
      <c r="AZ441" t="s">
        <v>74</v>
      </c>
      <c r="BA441" t="s">
        <v>74</v>
      </c>
      <c r="BB441">
        <v>296</v>
      </c>
      <c r="BC441">
        <v>305</v>
      </c>
      <c r="BD441" t="s">
        <v>74</v>
      </c>
      <c r="BE441" t="s">
        <v>5386</v>
      </c>
      <c r="BF441" t="str">
        <f>HYPERLINK("http://dx.doi.org/10.1117/12.307115","http://dx.doi.org/10.1117/12.307115")</f>
        <v>http://dx.doi.org/10.1117/12.307115</v>
      </c>
      <c r="BG441" t="s">
        <v>74</v>
      </c>
      <c r="BH441" t="s">
        <v>74</v>
      </c>
      <c r="BI441">
        <v>10</v>
      </c>
      <c r="BJ441" t="s">
        <v>5387</v>
      </c>
      <c r="BK441" t="s">
        <v>2189</v>
      </c>
      <c r="BL441" t="s">
        <v>5388</v>
      </c>
      <c r="BM441" t="s">
        <v>5389</v>
      </c>
      <c r="BN441" t="s">
        <v>74</v>
      </c>
      <c r="BO441" t="s">
        <v>74</v>
      </c>
      <c r="BP441" t="s">
        <v>74</v>
      </c>
      <c r="BQ441" t="s">
        <v>74</v>
      </c>
      <c r="BR441" t="s">
        <v>101</v>
      </c>
      <c r="BS441" t="s">
        <v>5390</v>
      </c>
      <c r="BT441" t="str">
        <f>HYPERLINK("https%3A%2F%2Fwww.webofscience.com%2Fwos%2Fwoscc%2Ffull-record%2FWOS:000074381100036","View Full Record in Web of Science")</f>
        <v>View Full Record in Web of Science</v>
      </c>
    </row>
    <row r="442" spans="1:72" x14ac:dyDescent="0.15">
      <c r="A442" t="s">
        <v>1540</v>
      </c>
      <c r="B442" t="s">
        <v>4813</v>
      </c>
      <c r="C442" t="s">
        <v>74</v>
      </c>
      <c r="D442" t="s">
        <v>5391</v>
      </c>
      <c r="E442" t="s">
        <v>74</v>
      </c>
      <c r="F442" t="s">
        <v>4813</v>
      </c>
      <c r="G442" t="s">
        <v>74</v>
      </c>
      <c r="H442" t="s">
        <v>74</v>
      </c>
      <c r="I442" t="s">
        <v>5392</v>
      </c>
      <c r="J442" t="s">
        <v>5393</v>
      </c>
      <c r="K442" t="s">
        <v>2544</v>
      </c>
      <c r="L442" t="s">
        <v>74</v>
      </c>
      <c r="M442" t="s">
        <v>77</v>
      </c>
      <c r="N442" t="s">
        <v>379</v>
      </c>
      <c r="O442" t="s">
        <v>5394</v>
      </c>
      <c r="P442" t="s">
        <v>2522</v>
      </c>
      <c r="Q442" t="s">
        <v>2523</v>
      </c>
      <c r="R442" t="s">
        <v>74</v>
      </c>
      <c r="S442" t="s">
        <v>74</v>
      </c>
      <c r="T442" t="s">
        <v>74</v>
      </c>
      <c r="U442" t="s">
        <v>5395</v>
      </c>
      <c r="V442" t="s">
        <v>5396</v>
      </c>
      <c r="W442" t="s">
        <v>5397</v>
      </c>
      <c r="X442" t="s">
        <v>5398</v>
      </c>
      <c r="Y442" t="s">
        <v>4824</v>
      </c>
      <c r="Z442" t="s">
        <v>74</v>
      </c>
      <c r="AA442" t="s">
        <v>4825</v>
      </c>
      <c r="AB442" t="s">
        <v>4826</v>
      </c>
      <c r="AC442" t="s">
        <v>74</v>
      </c>
      <c r="AD442" t="s">
        <v>74</v>
      </c>
      <c r="AE442" t="s">
        <v>74</v>
      </c>
      <c r="AF442" t="s">
        <v>74</v>
      </c>
      <c r="AG442">
        <v>16</v>
      </c>
      <c r="AH442">
        <v>10</v>
      </c>
      <c r="AI442">
        <v>15</v>
      </c>
      <c r="AJ442">
        <v>0</v>
      </c>
      <c r="AK442">
        <v>7</v>
      </c>
      <c r="AL442" t="s">
        <v>2530</v>
      </c>
      <c r="AM442" t="s">
        <v>214</v>
      </c>
      <c r="AN442" t="s">
        <v>2531</v>
      </c>
      <c r="AO442" t="s">
        <v>2532</v>
      </c>
      <c r="AP442" t="s">
        <v>74</v>
      </c>
      <c r="AQ442" t="s">
        <v>5399</v>
      </c>
      <c r="AR442" t="s">
        <v>2552</v>
      </c>
      <c r="AS442" t="s">
        <v>74</v>
      </c>
      <c r="AT442" t="s">
        <v>74</v>
      </c>
      <c r="AU442">
        <v>1998</v>
      </c>
      <c r="AV442">
        <v>22</v>
      </c>
      <c r="AW442">
        <v>3</v>
      </c>
      <c r="AX442" t="s">
        <v>74</v>
      </c>
      <c r="AY442" t="s">
        <v>74</v>
      </c>
      <c r="AZ442" t="s">
        <v>74</v>
      </c>
      <c r="BA442" t="s">
        <v>74</v>
      </c>
      <c r="BB442">
        <v>363</v>
      </c>
      <c r="BC442">
        <v>368</v>
      </c>
      <c r="BD442" t="s">
        <v>74</v>
      </c>
      <c r="BE442" t="s">
        <v>5400</v>
      </c>
      <c r="BF442" t="str">
        <f>HYPERLINK("http://dx.doi.org/10.1016/S0273-1177(98)00194-X","http://dx.doi.org/10.1016/S0273-1177(98)00194-X")</f>
        <v>http://dx.doi.org/10.1016/S0273-1177(98)00194-X</v>
      </c>
      <c r="BG442" t="s">
        <v>74</v>
      </c>
      <c r="BH442" t="s">
        <v>74</v>
      </c>
      <c r="BI442">
        <v>6</v>
      </c>
      <c r="BJ442" t="s">
        <v>5401</v>
      </c>
      <c r="BK442" t="s">
        <v>397</v>
      </c>
      <c r="BL442" t="s">
        <v>5402</v>
      </c>
      <c r="BM442" t="s">
        <v>5403</v>
      </c>
      <c r="BN442" t="s">
        <v>74</v>
      </c>
      <c r="BO442" t="s">
        <v>74</v>
      </c>
      <c r="BP442" t="s">
        <v>74</v>
      </c>
      <c r="BQ442" t="s">
        <v>74</v>
      </c>
      <c r="BR442" t="s">
        <v>101</v>
      </c>
      <c r="BS442" t="s">
        <v>5404</v>
      </c>
      <c r="BT442" t="str">
        <f>HYPERLINK("https%3A%2F%2Fwww.webofscience.com%2Fwos%2Fwoscc%2Ffull-record%2FWOS:000075554600007","View Full Record in Web of Science")</f>
        <v>View Full Record in Web of Science</v>
      </c>
    </row>
    <row r="443" spans="1:72" x14ac:dyDescent="0.15">
      <c r="A443" t="s">
        <v>72</v>
      </c>
      <c r="B443" t="s">
        <v>5405</v>
      </c>
      <c r="C443" t="s">
        <v>74</v>
      </c>
      <c r="D443" t="s">
        <v>74</v>
      </c>
      <c r="E443" t="s">
        <v>74</v>
      </c>
      <c r="F443" t="s">
        <v>5405</v>
      </c>
      <c r="G443" t="s">
        <v>74</v>
      </c>
      <c r="H443" t="s">
        <v>74</v>
      </c>
      <c r="I443" t="s">
        <v>5406</v>
      </c>
      <c r="J443" t="s">
        <v>5407</v>
      </c>
      <c r="K443" t="s">
        <v>74</v>
      </c>
      <c r="L443" t="s">
        <v>74</v>
      </c>
      <c r="M443" t="s">
        <v>77</v>
      </c>
      <c r="N443" t="s">
        <v>78</v>
      </c>
      <c r="O443" t="s">
        <v>74</v>
      </c>
      <c r="P443" t="s">
        <v>74</v>
      </c>
      <c r="Q443" t="s">
        <v>74</v>
      </c>
      <c r="R443" t="s">
        <v>74</v>
      </c>
      <c r="S443" t="s">
        <v>74</v>
      </c>
      <c r="T443" t="s">
        <v>74</v>
      </c>
      <c r="U443" t="s">
        <v>5408</v>
      </c>
      <c r="V443" t="s">
        <v>5409</v>
      </c>
      <c r="W443" t="s">
        <v>5410</v>
      </c>
      <c r="X443" t="s">
        <v>5411</v>
      </c>
      <c r="Y443" t="s">
        <v>5412</v>
      </c>
      <c r="Z443" t="s">
        <v>74</v>
      </c>
      <c r="AA443" t="s">
        <v>74</v>
      </c>
      <c r="AB443" t="s">
        <v>74</v>
      </c>
      <c r="AC443" t="s">
        <v>74</v>
      </c>
      <c r="AD443" t="s">
        <v>74</v>
      </c>
      <c r="AE443" t="s">
        <v>74</v>
      </c>
      <c r="AF443" t="s">
        <v>74</v>
      </c>
      <c r="AG443">
        <v>56</v>
      </c>
      <c r="AH443">
        <v>43</v>
      </c>
      <c r="AI443">
        <v>47</v>
      </c>
      <c r="AJ443">
        <v>1</v>
      </c>
      <c r="AK443">
        <v>4</v>
      </c>
      <c r="AL443" t="s">
        <v>5413</v>
      </c>
      <c r="AM443" t="s">
        <v>5414</v>
      </c>
      <c r="AN443" t="s">
        <v>5415</v>
      </c>
      <c r="AO443" t="s">
        <v>5416</v>
      </c>
      <c r="AP443" t="s">
        <v>74</v>
      </c>
      <c r="AQ443" t="s">
        <v>74</v>
      </c>
      <c r="AR443" t="s">
        <v>5417</v>
      </c>
      <c r="AS443" t="s">
        <v>5418</v>
      </c>
      <c r="AT443" t="s">
        <v>2502</v>
      </c>
      <c r="AU443">
        <v>1998</v>
      </c>
      <c r="AV443">
        <v>43</v>
      </c>
      <c r="AW443">
        <v>1</v>
      </c>
      <c r="AX443" t="s">
        <v>74</v>
      </c>
      <c r="AY443" t="s">
        <v>74</v>
      </c>
      <c r="AZ443" t="s">
        <v>74</v>
      </c>
      <c r="BA443" t="s">
        <v>74</v>
      </c>
      <c r="BB443">
        <v>146</v>
      </c>
      <c r="BC443">
        <v>153</v>
      </c>
      <c r="BD443" t="s">
        <v>74</v>
      </c>
      <c r="BE443" t="s">
        <v>5419</v>
      </c>
      <c r="BF443" t="str">
        <f>HYPERLINK("http://dx.doi.org/10.4319/lo.1998.43.1.0146","http://dx.doi.org/10.4319/lo.1998.43.1.0146")</f>
        <v>http://dx.doi.org/10.4319/lo.1998.43.1.0146</v>
      </c>
      <c r="BG443" t="s">
        <v>74</v>
      </c>
      <c r="BH443" t="s">
        <v>74</v>
      </c>
      <c r="BI443">
        <v>8</v>
      </c>
      <c r="BJ443" t="s">
        <v>5420</v>
      </c>
      <c r="BK443" t="s">
        <v>98</v>
      </c>
      <c r="BL443" t="s">
        <v>4525</v>
      </c>
      <c r="BM443" t="s">
        <v>5421</v>
      </c>
      <c r="BN443" t="s">
        <v>74</v>
      </c>
      <c r="BO443" t="s">
        <v>74</v>
      </c>
      <c r="BP443" t="s">
        <v>74</v>
      </c>
      <c r="BQ443" t="s">
        <v>74</v>
      </c>
      <c r="BR443" t="s">
        <v>101</v>
      </c>
      <c r="BS443" t="s">
        <v>5422</v>
      </c>
      <c r="BT443" t="str">
        <f>HYPERLINK("https%3A%2F%2Fwww.webofscience.com%2Fwos%2Fwoscc%2Ffull-record%2FWOS:000073694200018","View Full Record in Web of Science")</f>
        <v>View Full Record in Web of Science</v>
      </c>
    </row>
    <row r="444" spans="1:72" x14ac:dyDescent="0.15">
      <c r="A444" t="s">
        <v>2175</v>
      </c>
      <c r="B444" t="s">
        <v>5423</v>
      </c>
      <c r="C444" t="s">
        <v>74</v>
      </c>
      <c r="D444" t="s">
        <v>5424</v>
      </c>
      <c r="E444" t="s">
        <v>74</v>
      </c>
      <c r="F444" t="s">
        <v>5423</v>
      </c>
      <c r="G444" t="s">
        <v>74</v>
      </c>
      <c r="H444" t="s">
        <v>74</v>
      </c>
      <c r="I444" t="s">
        <v>5425</v>
      </c>
      <c r="J444" t="s">
        <v>5426</v>
      </c>
      <c r="K444" t="s">
        <v>5427</v>
      </c>
      <c r="L444" t="s">
        <v>74</v>
      </c>
      <c r="M444" t="s">
        <v>77</v>
      </c>
      <c r="N444" t="s">
        <v>2180</v>
      </c>
      <c r="O444" t="s">
        <v>5428</v>
      </c>
      <c r="P444" t="s">
        <v>5429</v>
      </c>
      <c r="Q444" t="s">
        <v>5430</v>
      </c>
      <c r="R444" t="s">
        <v>74</v>
      </c>
      <c r="S444" t="s">
        <v>74</v>
      </c>
      <c r="T444" t="s">
        <v>74</v>
      </c>
      <c r="U444" t="s">
        <v>74</v>
      </c>
      <c r="V444" t="s">
        <v>5431</v>
      </c>
      <c r="W444" t="s">
        <v>5432</v>
      </c>
      <c r="X444" t="s">
        <v>5433</v>
      </c>
      <c r="Y444" t="s">
        <v>5434</v>
      </c>
      <c r="Z444" t="s">
        <v>74</v>
      </c>
      <c r="AA444" t="s">
        <v>74</v>
      </c>
      <c r="AB444" t="s">
        <v>74</v>
      </c>
      <c r="AC444" t="s">
        <v>74</v>
      </c>
      <c r="AD444" t="s">
        <v>74</v>
      </c>
      <c r="AE444" t="s">
        <v>74</v>
      </c>
      <c r="AF444" t="s">
        <v>74</v>
      </c>
      <c r="AG444">
        <v>0</v>
      </c>
      <c r="AH444">
        <v>1</v>
      </c>
      <c r="AI444">
        <v>2</v>
      </c>
      <c r="AJ444">
        <v>0</v>
      </c>
      <c r="AK444">
        <v>1</v>
      </c>
      <c r="AL444" t="s">
        <v>2530</v>
      </c>
      <c r="AM444" t="s">
        <v>214</v>
      </c>
      <c r="AN444" t="s">
        <v>2531</v>
      </c>
      <c r="AO444" t="s">
        <v>74</v>
      </c>
      <c r="AP444" t="s">
        <v>74</v>
      </c>
      <c r="AQ444" t="s">
        <v>5435</v>
      </c>
      <c r="AR444" t="s">
        <v>5436</v>
      </c>
      <c r="AS444" t="s">
        <v>74</v>
      </c>
      <c r="AT444" t="s">
        <v>74</v>
      </c>
      <c r="AU444">
        <v>1998</v>
      </c>
      <c r="AV444">
        <v>9</v>
      </c>
      <c r="AW444" t="s">
        <v>74</v>
      </c>
      <c r="AX444" t="s">
        <v>74</v>
      </c>
      <c r="AY444" t="s">
        <v>74</v>
      </c>
      <c r="AZ444" t="s">
        <v>74</v>
      </c>
      <c r="BA444" t="s">
        <v>74</v>
      </c>
      <c r="BB444">
        <v>33</v>
      </c>
      <c r="BC444">
        <v>36</v>
      </c>
      <c r="BD444" t="s">
        <v>74</v>
      </c>
      <c r="BE444" t="s">
        <v>74</v>
      </c>
      <c r="BF444" t="s">
        <v>74</v>
      </c>
      <c r="BG444" t="s">
        <v>74</v>
      </c>
      <c r="BH444" t="s">
        <v>74</v>
      </c>
      <c r="BI444">
        <v>4</v>
      </c>
      <c r="BJ444" t="s">
        <v>5437</v>
      </c>
      <c r="BK444" t="s">
        <v>2189</v>
      </c>
      <c r="BL444" t="s">
        <v>5437</v>
      </c>
      <c r="BM444" t="s">
        <v>5438</v>
      </c>
      <c r="BN444" t="s">
        <v>74</v>
      </c>
      <c r="BO444" t="s">
        <v>74</v>
      </c>
      <c r="BP444" t="s">
        <v>74</v>
      </c>
      <c r="BQ444" t="s">
        <v>74</v>
      </c>
      <c r="BR444" t="s">
        <v>101</v>
      </c>
      <c r="BS444" t="s">
        <v>5439</v>
      </c>
      <c r="BT444" t="str">
        <f>HYPERLINK("https%3A%2F%2Fwww.webofscience.com%2Fwos%2Fwoscc%2Ffull-record%2FWOS:000077416500004","View Full Record in Web of Science")</f>
        <v>View Full Record in Web of Science</v>
      </c>
    </row>
    <row r="445" spans="1:72" x14ac:dyDescent="0.15">
      <c r="A445" t="s">
        <v>72</v>
      </c>
      <c r="B445" t="s">
        <v>5440</v>
      </c>
      <c r="C445" t="s">
        <v>74</v>
      </c>
      <c r="D445" t="s">
        <v>74</v>
      </c>
      <c r="E445" t="s">
        <v>74</v>
      </c>
      <c r="F445" t="s">
        <v>5440</v>
      </c>
      <c r="G445" t="s">
        <v>74</v>
      </c>
      <c r="H445" t="s">
        <v>74</v>
      </c>
      <c r="I445" t="s">
        <v>5441</v>
      </c>
      <c r="J445" t="s">
        <v>5442</v>
      </c>
      <c r="K445" t="s">
        <v>74</v>
      </c>
      <c r="L445" t="s">
        <v>74</v>
      </c>
      <c r="M445" t="s">
        <v>5443</v>
      </c>
      <c r="N445" t="s">
        <v>494</v>
      </c>
      <c r="O445" t="s">
        <v>74</v>
      </c>
      <c r="P445" t="s">
        <v>74</v>
      </c>
      <c r="Q445" t="s">
        <v>74</v>
      </c>
      <c r="R445" t="s">
        <v>74</v>
      </c>
      <c r="S445" t="s">
        <v>74</v>
      </c>
      <c r="T445" t="s">
        <v>74</v>
      </c>
      <c r="U445" t="s">
        <v>5444</v>
      </c>
      <c r="V445" t="s">
        <v>5445</v>
      </c>
      <c r="W445" t="s">
        <v>5446</v>
      </c>
      <c r="X445" t="s">
        <v>5447</v>
      </c>
      <c r="Y445" t="s">
        <v>5448</v>
      </c>
      <c r="Z445" t="s">
        <v>5449</v>
      </c>
      <c r="AA445" t="s">
        <v>74</v>
      </c>
      <c r="AB445" t="s">
        <v>74</v>
      </c>
      <c r="AC445" t="s">
        <v>74</v>
      </c>
      <c r="AD445" t="s">
        <v>74</v>
      </c>
      <c r="AE445" t="s">
        <v>74</v>
      </c>
      <c r="AF445" t="s">
        <v>74</v>
      </c>
      <c r="AG445">
        <v>248</v>
      </c>
      <c r="AH445">
        <v>22</v>
      </c>
      <c r="AI445">
        <v>30</v>
      </c>
      <c r="AJ445">
        <v>0</v>
      </c>
      <c r="AK445">
        <v>19</v>
      </c>
      <c r="AL445" t="s">
        <v>5450</v>
      </c>
      <c r="AM445" t="s">
        <v>5451</v>
      </c>
      <c r="AN445" t="s">
        <v>5452</v>
      </c>
      <c r="AO445" t="s">
        <v>5453</v>
      </c>
      <c r="AP445" t="s">
        <v>5454</v>
      </c>
      <c r="AQ445" t="s">
        <v>74</v>
      </c>
      <c r="AR445" t="s">
        <v>5442</v>
      </c>
      <c r="AS445" t="s">
        <v>5455</v>
      </c>
      <c r="AT445" t="s">
        <v>74</v>
      </c>
      <c r="AU445">
        <v>1998</v>
      </c>
      <c r="AV445">
        <v>40</v>
      </c>
      <c r="AW445" t="s">
        <v>4809</v>
      </c>
      <c r="AX445" t="s">
        <v>74</v>
      </c>
      <c r="AY445" t="s">
        <v>74</v>
      </c>
      <c r="AZ445" t="s">
        <v>74</v>
      </c>
      <c r="BA445" t="s">
        <v>74</v>
      </c>
      <c r="BB445">
        <v>113</v>
      </c>
      <c r="BC445">
        <v>229</v>
      </c>
      <c r="BD445" t="s">
        <v>74</v>
      </c>
      <c r="BE445" t="s">
        <v>74</v>
      </c>
      <c r="BF445" t="s">
        <v>74</v>
      </c>
      <c r="BG445" t="s">
        <v>74</v>
      </c>
      <c r="BH445" t="s">
        <v>74</v>
      </c>
      <c r="BI445">
        <v>117</v>
      </c>
      <c r="BJ445" t="s">
        <v>417</v>
      </c>
      <c r="BK445" t="s">
        <v>98</v>
      </c>
      <c r="BL445" t="s">
        <v>417</v>
      </c>
      <c r="BM445" t="s">
        <v>5456</v>
      </c>
      <c r="BN445" t="s">
        <v>74</v>
      </c>
      <c r="BO445" t="s">
        <v>74</v>
      </c>
      <c r="BP445" t="s">
        <v>74</v>
      </c>
      <c r="BQ445" t="s">
        <v>74</v>
      </c>
      <c r="BR445" t="s">
        <v>101</v>
      </c>
      <c r="BS445" t="s">
        <v>5457</v>
      </c>
      <c r="BT445" t="str">
        <f>HYPERLINK("https%3A%2F%2Fwww.webofscience.com%2Fwos%2Fwoscc%2Ffull-record%2FWOS:000077656200004","View Full Record in Web of Science")</f>
        <v>View Full Record in Web of Science</v>
      </c>
    </row>
    <row r="446" spans="1:72" x14ac:dyDescent="0.15">
      <c r="A446" t="s">
        <v>72</v>
      </c>
      <c r="B446" t="s">
        <v>5458</v>
      </c>
      <c r="C446" t="s">
        <v>74</v>
      </c>
      <c r="D446" t="s">
        <v>74</v>
      </c>
      <c r="E446" t="s">
        <v>74</v>
      </c>
      <c r="F446" t="s">
        <v>5458</v>
      </c>
      <c r="G446" t="s">
        <v>74</v>
      </c>
      <c r="H446" t="s">
        <v>74</v>
      </c>
      <c r="I446" t="s">
        <v>5459</v>
      </c>
      <c r="J446" t="s">
        <v>5460</v>
      </c>
      <c r="K446" t="s">
        <v>74</v>
      </c>
      <c r="L446" t="s">
        <v>74</v>
      </c>
      <c r="M446" t="s">
        <v>77</v>
      </c>
      <c r="N446" t="s">
        <v>78</v>
      </c>
      <c r="O446" t="s">
        <v>74</v>
      </c>
      <c r="P446" t="s">
        <v>74</v>
      </c>
      <c r="Q446" t="s">
        <v>74</v>
      </c>
      <c r="R446" t="s">
        <v>74</v>
      </c>
      <c r="S446" t="s">
        <v>74</v>
      </c>
      <c r="T446" t="s">
        <v>74</v>
      </c>
      <c r="U446" t="s">
        <v>5461</v>
      </c>
      <c r="V446" t="s">
        <v>5462</v>
      </c>
      <c r="W446" t="s">
        <v>5463</v>
      </c>
      <c r="X446" t="s">
        <v>5464</v>
      </c>
      <c r="Y446" t="s">
        <v>5465</v>
      </c>
      <c r="Z446" t="s">
        <v>74</v>
      </c>
      <c r="AA446" t="s">
        <v>74</v>
      </c>
      <c r="AB446" t="s">
        <v>74</v>
      </c>
      <c r="AC446" t="s">
        <v>74</v>
      </c>
      <c r="AD446" t="s">
        <v>74</v>
      </c>
      <c r="AE446" t="s">
        <v>74</v>
      </c>
      <c r="AF446" t="s">
        <v>74</v>
      </c>
      <c r="AG446">
        <v>13</v>
      </c>
      <c r="AH446">
        <v>5</v>
      </c>
      <c r="AI446">
        <v>5</v>
      </c>
      <c r="AJ446">
        <v>1</v>
      </c>
      <c r="AK446">
        <v>3</v>
      </c>
      <c r="AL446" t="s">
        <v>5466</v>
      </c>
      <c r="AM446" t="s">
        <v>5467</v>
      </c>
      <c r="AN446" t="s">
        <v>5468</v>
      </c>
      <c r="AO446" t="s">
        <v>5469</v>
      </c>
      <c r="AP446" t="s">
        <v>74</v>
      </c>
      <c r="AQ446" t="s">
        <v>74</v>
      </c>
      <c r="AR446" t="s">
        <v>5470</v>
      </c>
      <c r="AS446" t="s">
        <v>5471</v>
      </c>
      <c r="AT446" t="s">
        <v>74</v>
      </c>
      <c r="AU446">
        <v>1998</v>
      </c>
      <c r="AV446">
        <v>49</v>
      </c>
      <c r="AW446">
        <v>1</v>
      </c>
      <c r="AX446" t="s">
        <v>74</v>
      </c>
      <c r="AY446" t="s">
        <v>74</v>
      </c>
      <c r="AZ446" t="s">
        <v>74</v>
      </c>
      <c r="BA446" t="s">
        <v>74</v>
      </c>
      <c r="BB446">
        <v>1</v>
      </c>
      <c r="BC446">
        <v>6</v>
      </c>
      <c r="BD446" t="s">
        <v>74</v>
      </c>
      <c r="BE446" t="s">
        <v>74</v>
      </c>
      <c r="BF446" t="s">
        <v>74</v>
      </c>
      <c r="BG446" t="s">
        <v>74</v>
      </c>
      <c r="BH446" t="s">
        <v>74</v>
      </c>
      <c r="BI446">
        <v>6</v>
      </c>
      <c r="BJ446" t="s">
        <v>5472</v>
      </c>
      <c r="BK446" t="s">
        <v>98</v>
      </c>
      <c r="BL446" t="s">
        <v>5473</v>
      </c>
      <c r="BM446" t="s">
        <v>5474</v>
      </c>
      <c r="BN446" t="s">
        <v>74</v>
      </c>
      <c r="BO446" t="s">
        <v>74</v>
      </c>
      <c r="BP446" t="s">
        <v>74</v>
      </c>
      <c r="BQ446" t="s">
        <v>74</v>
      </c>
      <c r="BR446" t="s">
        <v>101</v>
      </c>
      <c r="BS446" t="s">
        <v>5475</v>
      </c>
      <c r="BT446" t="str">
        <f>HYPERLINK("https%3A%2F%2Fwww.webofscience.com%2Fwos%2Fwoscc%2Ffull-record%2FWOS:000073144900001","View Full Record in Web of Science")</f>
        <v>View Full Record in Web of Science</v>
      </c>
    </row>
    <row r="447" spans="1:72" x14ac:dyDescent="0.15">
      <c r="A447" t="s">
        <v>72</v>
      </c>
      <c r="B447" t="s">
        <v>5476</v>
      </c>
      <c r="C447" t="s">
        <v>74</v>
      </c>
      <c r="D447" t="s">
        <v>74</v>
      </c>
      <c r="E447" t="s">
        <v>74</v>
      </c>
      <c r="F447" t="s">
        <v>5476</v>
      </c>
      <c r="G447" t="s">
        <v>74</v>
      </c>
      <c r="H447" t="s">
        <v>74</v>
      </c>
      <c r="I447" t="s">
        <v>5477</v>
      </c>
      <c r="J447" t="s">
        <v>5460</v>
      </c>
      <c r="K447" t="s">
        <v>74</v>
      </c>
      <c r="L447" t="s">
        <v>74</v>
      </c>
      <c r="M447" t="s">
        <v>77</v>
      </c>
      <c r="N447" t="s">
        <v>78</v>
      </c>
      <c r="O447" t="s">
        <v>74</v>
      </c>
      <c r="P447" t="s">
        <v>74</v>
      </c>
      <c r="Q447" t="s">
        <v>74</v>
      </c>
      <c r="R447" t="s">
        <v>74</v>
      </c>
      <c r="S447" t="s">
        <v>74</v>
      </c>
      <c r="T447" t="s">
        <v>5478</v>
      </c>
      <c r="U447" t="s">
        <v>5479</v>
      </c>
      <c r="V447" t="s">
        <v>5480</v>
      </c>
      <c r="W447" t="s">
        <v>5481</v>
      </c>
      <c r="X447" t="s">
        <v>5482</v>
      </c>
      <c r="Y447" t="s">
        <v>570</v>
      </c>
      <c r="Z447" t="s">
        <v>74</v>
      </c>
      <c r="AA447" t="s">
        <v>74</v>
      </c>
      <c r="AB447" t="s">
        <v>74</v>
      </c>
      <c r="AC447" t="s">
        <v>74</v>
      </c>
      <c r="AD447" t="s">
        <v>74</v>
      </c>
      <c r="AE447" t="s">
        <v>74</v>
      </c>
      <c r="AF447" t="s">
        <v>74</v>
      </c>
      <c r="AG447">
        <v>66</v>
      </c>
      <c r="AH447">
        <v>13</v>
      </c>
      <c r="AI447">
        <v>17</v>
      </c>
      <c r="AJ447">
        <v>1</v>
      </c>
      <c r="AK447">
        <v>5</v>
      </c>
      <c r="AL447" t="s">
        <v>5466</v>
      </c>
      <c r="AM447" t="s">
        <v>5467</v>
      </c>
      <c r="AN447" t="s">
        <v>5468</v>
      </c>
      <c r="AO447" t="s">
        <v>5469</v>
      </c>
      <c r="AP447" t="s">
        <v>74</v>
      </c>
      <c r="AQ447" t="s">
        <v>74</v>
      </c>
      <c r="AR447" t="s">
        <v>5470</v>
      </c>
      <c r="AS447" t="s">
        <v>5471</v>
      </c>
      <c r="AT447" t="s">
        <v>74</v>
      </c>
      <c r="AU447">
        <v>1998</v>
      </c>
      <c r="AV447">
        <v>49</v>
      </c>
      <c r="AW447">
        <v>2</v>
      </c>
      <c r="AX447" t="s">
        <v>74</v>
      </c>
      <c r="AY447" t="s">
        <v>74</v>
      </c>
      <c r="AZ447" t="s">
        <v>74</v>
      </c>
      <c r="BA447" t="s">
        <v>74</v>
      </c>
      <c r="BB447">
        <v>121</v>
      </c>
      <c r="BC447">
        <v>125</v>
      </c>
      <c r="BD447" t="s">
        <v>74</v>
      </c>
      <c r="BE447" t="s">
        <v>5483</v>
      </c>
      <c r="BF447" t="str">
        <f>HYPERLINK("http://dx.doi.org/10.1071/MF97133","http://dx.doi.org/10.1071/MF97133")</f>
        <v>http://dx.doi.org/10.1071/MF97133</v>
      </c>
      <c r="BG447" t="s">
        <v>74</v>
      </c>
      <c r="BH447" t="s">
        <v>74</v>
      </c>
      <c r="BI447">
        <v>5</v>
      </c>
      <c r="BJ447" t="s">
        <v>5472</v>
      </c>
      <c r="BK447" t="s">
        <v>98</v>
      </c>
      <c r="BL447" t="s">
        <v>5473</v>
      </c>
      <c r="BM447" t="s">
        <v>5484</v>
      </c>
      <c r="BN447" t="s">
        <v>74</v>
      </c>
      <c r="BO447" t="s">
        <v>74</v>
      </c>
      <c r="BP447" t="s">
        <v>74</v>
      </c>
      <c r="BQ447" t="s">
        <v>74</v>
      </c>
      <c r="BR447" t="s">
        <v>101</v>
      </c>
      <c r="BS447" t="s">
        <v>5485</v>
      </c>
      <c r="BT447" t="str">
        <f>HYPERLINK("https%3A%2F%2Fwww.webofscience.com%2Fwos%2Fwoscc%2Ffull-record%2FWOS:000073674200004","View Full Record in Web of Science")</f>
        <v>View Full Record in Web of Science</v>
      </c>
    </row>
    <row r="448" spans="1:72" x14ac:dyDescent="0.15">
      <c r="A448" t="s">
        <v>72</v>
      </c>
      <c r="B448" t="s">
        <v>5486</v>
      </c>
      <c r="C448" t="s">
        <v>74</v>
      </c>
      <c r="D448" t="s">
        <v>74</v>
      </c>
      <c r="E448" t="s">
        <v>74</v>
      </c>
      <c r="F448" t="s">
        <v>5486</v>
      </c>
      <c r="G448" t="s">
        <v>74</v>
      </c>
      <c r="H448" t="s">
        <v>74</v>
      </c>
      <c r="I448" t="s">
        <v>5487</v>
      </c>
      <c r="J448" t="s">
        <v>5460</v>
      </c>
      <c r="K448" t="s">
        <v>74</v>
      </c>
      <c r="L448" t="s">
        <v>74</v>
      </c>
      <c r="M448" t="s">
        <v>77</v>
      </c>
      <c r="N448" t="s">
        <v>78</v>
      </c>
      <c r="O448" t="s">
        <v>74</v>
      </c>
      <c r="P448" t="s">
        <v>74</v>
      </c>
      <c r="Q448" t="s">
        <v>74</v>
      </c>
      <c r="R448" t="s">
        <v>74</v>
      </c>
      <c r="S448" t="s">
        <v>74</v>
      </c>
      <c r="T448" t="s">
        <v>74</v>
      </c>
      <c r="U448" t="s">
        <v>5488</v>
      </c>
      <c r="V448" t="s">
        <v>5489</v>
      </c>
      <c r="W448" t="s">
        <v>5490</v>
      </c>
      <c r="X448" t="s">
        <v>2677</v>
      </c>
      <c r="Y448" t="s">
        <v>5491</v>
      </c>
      <c r="Z448" t="s">
        <v>74</v>
      </c>
      <c r="AA448" t="s">
        <v>5492</v>
      </c>
      <c r="AB448" t="s">
        <v>5493</v>
      </c>
      <c r="AC448" t="s">
        <v>74</v>
      </c>
      <c r="AD448" t="s">
        <v>74</v>
      </c>
      <c r="AE448" t="s">
        <v>74</v>
      </c>
      <c r="AF448" t="s">
        <v>74</v>
      </c>
      <c r="AG448">
        <v>35</v>
      </c>
      <c r="AH448">
        <v>78</v>
      </c>
      <c r="AI448">
        <v>85</v>
      </c>
      <c r="AJ448">
        <v>2</v>
      </c>
      <c r="AK448">
        <v>35</v>
      </c>
      <c r="AL448" t="s">
        <v>5494</v>
      </c>
      <c r="AM448" t="s">
        <v>5467</v>
      </c>
      <c r="AN448" t="s">
        <v>5468</v>
      </c>
      <c r="AO448" t="s">
        <v>5469</v>
      </c>
      <c r="AP448" t="s">
        <v>74</v>
      </c>
      <c r="AQ448" t="s">
        <v>74</v>
      </c>
      <c r="AR448" t="s">
        <v>5470</v>
      </c>
      <c r="AS448" t="s">
        <v>5471</v>
      </c>
      <c r="AT448" t="s">
        <v>74</v>
      </c>
      <c r="AU448">
        <v>1998</v>
      </c>
      <c r="AV448">
        <v>49</v>
      </c>
      <c r="AW448">
        <v>6</v>
      </c>
      <c r="AX448" t="s">
        <v>74</v>
      </c>
      <c r="AY448" t="s">
        <v>74</v>
      </c>
      <c r="AZ448" t="s">
        <v>74</v>
      </c>
      <c r="BA448" t="s">
        <v>74</v>
      </c>
      <c r="BB448">
        <v>533</v>
      </c>
      <c r="BC448">
        <v>540</v>
      </c>
      <c r="BD448" t="s">
        <v>74</v>
      </c>
      <c r="BE448" t="s">
        <v>5495</v>
      </c>
      <c r="BF448" t="str">
        <f>HYPERLINK("http://dx.doi.org/10.1071/MF97188","http://dx.doi.org/10.1071/MF97188")</f>
        <v>http://dx.doi.org/10.1071/MF97188</v>
      </c>
      <c r="BG448" t="s">
        <v>74</v>
      </c>
      <c r="BH448" t="s">
        <v>74</v>
      </c>
      <c r="BI448">
        <v>8</v>
      </c>
      <c r="BJ448" t="s">
        <v>5472</v>
      </c>
      <c r="BK448" t="s">
        <v>98</v>
      </c>
      <c r="BL448" t="s">
        <v>5473</v>
      </c>
      <c r="BM448" t="s">
        <v>5496</v>
      </c>
      <c r="BN448" t="s">
        <v>74</v>
      </c>
      <c r="BO448" t="s">
        <v>74</v>
      </c>
      <c r="BP448" t="s">
        <v>74</v>
      </c>
      <c r="BQ448" t="s">
        <v>74</v>
      </c>
      <c r="BR448" t="s">
        <v>101</v>
      </c>
      <c r="BS448" t="s">
        <v>5497</v>
      </c>
      <c r="BT448" t="str">
        <f>HYPERLINK("https%3A%2F%2Fwww.webofscience.com%2Fwos%2Fwoscc%2Ffull-record%2FWOS:000078710100010","View Full Record in Web of Science")</f>
        <v>View Full Record in Web of Science</v>
      </c>
    </row>
    <row r="449" spans="1:72" x14ac:dyDescent="0.15">
      <c r="A449" t="s">
        <v>72</v>
      </c>
      <c r="B449" t="s">
        <v>5498</v>
      </c>
      <c r="C449" t="s">
        <v>74</v>
      </c>
      <c r="D449" t="s">
        <v>74</v>
      </c>
      <c r="E449" t="s">
        <v>74</v>
      </c>
      <c r="F449" t="s">
        <v>5498</v>
      </c>
      <c r="G449" t="s">
        <v>74</v>
      </c>
      <c r="H449" t="s">
        <v>74</v>
      </c>
      <c r="I449" t="s">
        <v>5499</v>
      </c>
      <c r="J449" t="s">
        <v>5500</v>
      </c>
      <c r="K449" t="s">
        <v>74</v>
      </c>
      <c r="L449" t="s">
        <v>74</v>
      </c>
      <c r="M449" t="s">
        <v>77</v>
      </c>
      <c r="N449" t="s">
        <v>78</v>
      </c>
      <c r="O449" t="s">
        <v>74</v>
      </c>
      <c r="P449" t="s">
        <v>74</v>
      </c>
      <c r="Q449" t="s">
        <v>74</v>
      </c>
      <c r="R449" t="s">
        <v>74</v>
      </c>
      <c r="S449" t="s">
        <v>74</v>
      </c>
      <c r="T449" t="s">
        <v>5501</v>
      </c>
      <c r="U449" t="s">
        <v>5502</v>
      </c>
      <c r="V449" t="s">
        <v>5503</v>
      </c>
      <c r="W449" t="s">
        <v>5504</v>
      </c>
      <c r="X449" t="s">
        <v>5505</v>
      </c>
      <c r="Y449" t="s">
        <v>5506</v>
      </c>
      <c r="Z449" t="s">
        <v>5507</v>
      </c>
      <c r="AA449" t="s">
        <v>74</v>
      </c>
      <c r="AB449" t="s">
        <v>74</v>
      </c>
      <c r="AC449" t="s">
        <v>74</v>
      </c>
      <c r="AD449" t="s">
        <v>74</v>
      </c>
      <c r="AE449" t="s">
        <v>74</v>
      </c>
      <c r="AF449" t="s">
        <v>74</v>
      </c>
      <c r="AG449">
        <v>35</v>
      </c>
      <c r="AH449">
        <v>42</v>
      </c>
      <c r="AI449">
        <v>51</v>
      </c>
      <c r="AJ449">
        <v>0</v>
      </c>
      <c r="AK449">
        <v>11</v>
      </c>
      <c r="AL449" t="s">
        <v>1159</v>
      </c>
      <c r="AM449" t="s">
        <v>1160</v>
      </c>
      <c r="AN449" t="s">
        <v>1161</v>
      </c>
      <c r="AO449" t="s">
        <v>5508</v>
      </c>
      <c r="AP449" t="s">
        <v>74</v>
      </c>
      <c r="AQ449" t="s">
        <v>74</v>
      </c>
      <c r="AR449" t="s">
        <v>5509</v>
      </c>
      <c r="AS449" t="s">
        <v>5510</v>
      </c>
      <c r="AT449" t="s">
        <v>74</v>
      </c>
      <c r="AU449">
        <v>1998</v>
      </c>
      <c r="AV449">
        <v>175</v>
      </c>
      <c r="AW449" t="s">
        <v>74</v>
      </c>
      <c r="AX449" t="s">
        <v>74</v>
      </c>
      <c r="AY449" t="s">
        <v>74</v>
      </c>
      <c r="AZ449" t="s">
        <v>74</v>
      </c>
      <c r="BA449" t="s">
        <v>74</v>
      </c>
      <c r="BB449">
        <v>1</v>
      </c>
      <c r="BC449">
        <v>12</v>
      </c>
      <c r="BD449" t="s">
        <v>74</v>
      </c>
      <c r="BE449" t="s">
        <v>5511</v>
      </c>
      <c r="BF449" t="str">
        <f>HYPERLINK("http://dx.doi.org/10.3354/meps175001","http://dx.doi.org/10.3354/meps175001")</f>
        <v>http://dx.doi.org/10.3354/meps175001</v>
      </c>
      <c r="BG449" t="s">
        <v>74</v>
      </c>
      <c r="BH449" t="s">
        <v>74</v>
      </c>
      <c r="BI449">
        <v>12</v>
      </c>
      <c r="BJ449" t="s">
        <v>5512</v>
      </c>
      <c r="BK449" t="s">
        <v>98</v>
      </c>
      <c r="BL449" t="s">
        <v>5513</v>
      </c>
      <c r="BM449" t="s">
        <v>5514</v>
      </c>
      <c r="BN449" t="s">
        <v>74</v>
      </c>
      <c r="BO449" t="s">
        <v>100</v>
      </c>
      <c r="BP449" t="s">
        <v>74</v>
      </c>
      <c r="BQ449" t="s">
        <v>74</v>
      </c>
      <c r="BR449" t="s">
        <v>101</v>
      </c>
      <c r="BS449" t="s">
        <v>5515</v>
      </c>
      <c r="BT449" t="str">
        <f>HYPERLINK("https%3A%2F%2Fwww.webofscience.com%2Fwos%2Fwoscc%2Ffull-record%2FWOS:000077992700001","View Full Record in Web of Science")</f>
        <v>View Full Record in Web of Science</v>
      </c>
    </row>
    <row r="450" spans="1:72" x14ac:dyDescent="0.15">
      <c r="A450" t="s">
        <v>72</v>
      </c>
      <c r="B450" t="s">
        <v>5516</v>
      </c>
      <c r="C450" t="s">
        <v>74</v>
      </c>
      <c r="D450" t="s">
        <v>74</v>
      </c>
      <c r="E450" t="s">
        <v>74</v>
      </c>
      <c r="F450" t="s">
        <v>5516</v>
      </c>
      <c r="G450" t="s">
        <v>74</v>
      </c>
      <c r="H450" t="s">
        <v>74</v>
      </c>
      <c r="I450" t="s">
        <v>5517</v>
      </c>
      <c r="J450" t="s">
        <v>5500</v>
      </c>
      <c r="K450" t="s">
        <v>74</v>
      </c>
      <c r="L450" t="s">
        <v>74</v>
      </c>
      <c r="M450" t="s">
        <v>77</v>
      </c>
      <c r="N450" t="s">
        <v>78</v>
      </c>
      <c r="O450" t="s">
        <v>74</v>
      </c>
      <c r="P450" t="s">
        <v>74</v>
      </c>
      <c r="Q450" t="s">
        <v>74</v>
      </c>
      <c r="R450" t="s">
        <v>74</v>
      </c>
      <c r="S450" t="s">
        <v>74</v>
      </c>
      <c r="T450" t="s">
        <v>5518</v>
      </c>
      <c r="U450" t="s">
        <v>5519</v>
      </c>
      <c r="V450" t="s">
        <v>5520</v>
      </c>
      <c r="W450" t="s">
        <v>372</v>
      </c>
      <c r="X450" t="s">
        <v>322</v>
      </c>
      <c r="Y450" t="s">
        <v>2662</v>
      </c>
      <c r="Z450" t="s">
        <v>5521</v>
      </c>
      <c r="AA450" t="s">
        <v>74</v>
      </c>
      <c r="AB450" t="s">
        <v>74</v>
      </c>
      <c r="AC450" t="s">
        <v>74</v>
      </c>
      <c r="AD450" t="s">
        <v>74</v>
      </c>
      <c r="AE450" t="s">
        <v>74</v>
      </c>
      <c r="AF450" t="s">
        <v>74</v>
      </c>
      <c r="AG450">
        <v>39</v>
      </c>
      <c r="AH450">
        <v>20</v>
      </c>
      <c r="AI450">
        <v>20</v>
      </c>
      <c r="AJ450">
        <v>0</v>
      </c>
      <c r="AK450">
        <v>3</v>
      </c>
      <c r="AL450" t="s">
        <v>1159</v>
      </c>
      <c r="AM450" t="s">
        <v>1160</v>
      </c>
      <c r="AN450" t="s">
        <v>1161</v>
      </c>
      <c r="AO450" t="s">
        <v>5508</v>
      </c>
      <c r="AP450" t="s">
        <v>5522</v>
      </c>
      <c r="AQ450" t="s">
        <v>74</v>
      </c>
      <c r="AR450" t="s">
        <v>5509</v>
      </c>
      <c r="AS450" t="s">
        <v>5510</v>
      </c>
      <c r="AT450" t="s">
        <v>74</v>
      </c>
      <c r="AU450">
        <v>1998</v>
      </c>
      <c r="AV450">
        <v>175</v>
      </c>
      <c r="AW450" t="s">
        <v>74</v>
      </c>
      <c r="AX450" t="s">
        <v>74</v>
      </c>
      <c r="AY450" t="s">
        <v>74</v>
      </c>
      <c r="AZ450" t="s">
        <v>74</v>
      </c>
      <c r="BA450" t="s">
        <v>74</v>
      </c>
      <c r="BB450">
        <v>109</v>
      </c>
      <c r="BC450">
        <v>119</v>
      </c>
      <c r="BD450" t="s">
        <v>74</v>
      </c>
      <c r="BE450" t="s">
        <v>5523</v>
      </c>
      <c r="BF450" t="str">
        <f>HYPERLINK("http://dx.doi.org/10.3354/meps175109","http://dx.doi.org/10.3354/meps175109")</f>
        <v>http://dx.doi.org/10.3354/meps175109</v>
      </c>
      <c r="BG450" t="s">
        <v>74</v>
      </c>
      <c r="BH450" t="s">
        <v>74</v>
      </c>
      <c r="BI450">
        <v>11</v>
      </c>
      <c r="BJ450" t="s">
        <v>5512</v>
      </c>
      <c r="BK450" t="s">
        <v>98</v>
      </c>
      <c r="BL450" t="s">
        <v>5513</v>
      </c>
      <c r="BM450" t="s">
        <v>5514</v>
      </c>
      <c r="BN450" t="s">
        <v>74</v>
      </c>
      <c r="BO450" t="s">
        <v>100</v>
      </c>
      <c r="BP450" t="s">
        <v>74</v>
      </c>
      <c r="BQ450" t="s">
        <v>74</v>
      </c>
      <c r="BR450" t="s">
        <v>101</v>
      </c>
      <c r="BS450" t="s">
        <v>5524</v>
      </c>
      <c r="BT450" t="str">
        <f>HYPERLINK("https%3A%2F%2Fwww.webofscience.com%2Fwos%2Fwoscc%2Ffull-record%2FWOS:000077992700010","View Full Record in Web of Science")</f>
        <v>View Full Record in Web of Science</v>
      </c>
    </row>
    <row r="451" spans="1:72" x14ac:dyDescent="0.15">
      <c r="A451" t="s">
        <v>72</v>
      </c>
      <c r="B451" t="s">
        <v>5525</v>
      </c>
      <c r="C451" t="s">
        <v>74</v>
      </c>
      <c r="D451" t="s">
        <v>74</v>
      </c>
      <c r="E451" t="s">
        <v>74</v>
      </c>
      <c r="F451" t="s">
        <v>5525</v>
      </c>
      <c r="G451" t="s">
        <v>74</v>
      </c>
      <c r="H451" t="s">
        <v>74</v>
      </c>
      <c r="I451" t="s">
        <v>5526</v>
      </c>
      <c r="J451" t="s">
        <v>5500</v>
      </c>
      <c r="K451" t="s">
        <v>74</v>
      </c>
      <c r="L451" t="s">
        <v>74</v>
      </c>
      <c r="M451" t="s">
        <v>77</v>
      </c>
      <c r="N451" t="s">
        <v>78</v>
      </c>
      <c r="O451" t="s">
        <v>74</v>
      </c>
      <c r="P451" t="s">
        <v>74</v>
      </c>
      <c r="Q451" t="s">
        <v>74</v>
      </c>
      <c r="R451" t="s">
        <v>74</v>
      </c>
      <c r="S451" t="s">
        <v>74</v>
      </c>
      <c r="T451" t="s">
        <v>5527</v>
      </c>
      <c r="U451" t="s">
        <v>5528</v>
      </c>
      <c r="V451" t="s">
        <v>5529</v>
      </c>
      <c r="W451" t="s">
        <v>5530</v>
      </c>
      <c r="X451" t="s">
        <v>5531</v>
      </c>
      <c r="Y451" t="s">
        <v>5532</v>
      </c>
      <c r="Z451" t="s">
        <v>5533</v>
      </c>
      <c r="AA451" t="s">
        <v>74</v>
      </c>
      <c r="AB451" t="s">
        <v>74</v>
      </c>
      <c r="AC451" t="s">
        <v>74</v>
      </c>
      <c r="AD451" t="s">
        <v>74</v>
      </c>
      <c r="AE451" t="s">
        <v>74</v>
      </c>
      <c r="AF451" t="s">
        <v>74</v>
      </c>
      <c r="AG451">
        <v>60</v>
      </c>
      <c r="AH451">
        <v>76</v>
      </c>
      <c r="AI451">
        <v>80</v>
      </c>
      <c r="AJ451">
        <v>0</v>
      </c>
      <c r="AK451">
        <v>14</v>
      </c>
      <c r="AL451" t="s">
        <v>1159</v>
      </c>
      <c r="AM451" t="s">
        <v>1160</v>
      </c>
      <c r="AN451" t="s">
        <v>1161</v>
      </c>
      <c r="AO451" t="s">
        <v>5508</v>
      </c>
      <c r="AP451" t="s">
        <v>74</v>
      </c>
      <c r="AQ451" t="s">
        <v>74</v>
      </c>
      <c r="AR451" t="s">
        <v>5509</v>
      </c>
      <c r="AS451" t="s">
        <v>5510</v>
      </c>
      <c r="AT451" t="s">
        <v>74</v>
      </c>
      <c r="AU451">
        <v>1998</v>
      </c>
      <c r="AV451">
        <v>174</v>
      </c>
      <c r="AW451" t="s">
        <v>74</v>
      </c>
      <c r="AX451" t="s">
        <v>74</v>
      </c>
      <c r="AY451" t="s">
        <v>74</v>
      </c>
      <c r="AZ451" t="s">
        <v>74</v>
      </c>
      <c r="BA451" t="s">
        <v>74</v>
      </c>
      <c r="BB451">
        <v>207</v>
      </c>
      <c r="BC451">
        <v>222</v>
      </c>
      <c r="BD451" t="s">
        <v>74</v>
      </c>
      <c r="BE451" t="s">
        <v>5534</v>
      </c>
      <c r="BF451" t="str">
        <f>HYPERLINK("http://dx.doi.org/10.3354/meps174207","http://dx.doi.org/10.3354/meps174207")</f>
        <v>http://dx.doi.org/10.3354/meps174207</v>
      </c>
      <c r="BG451" t="s">
        <v>74</v>
      </c>
      <c r="BH451" t="s">
        <v>74</v>
      </c>
      <c r="BI451">
        <v>16</v>
      </c>
      <c r="BJ451" t="s">
        <v>5512</v>
      </c>
      <c r="BK451" t="s">
        <v>98</v>
      </c>
      <c r="BL451" t="s">
        <v>5513</v>
      </c>
      <c r="BM451" t="s">
        <v>5535</v>
      </c>
      <c r="BN451" t="s">
        <v>74</v>
      </c>
      <c r="BO451" t="s">
        <v>100</v>
      </c>
      <c r="BP451" t="s">
        <v>74</v>
      </c>
      <c r="BQ451" t="s">
        <v>74</v>
      </c>
      <c r="BR451" t="s">
        <v>101</v>
      </c>
      <c r="BS451" t="s">
        <v>5536</v>
      </c>
      <c r="BT451" t="str">
        <f>HYPERLINK("https%3A%2F%2Fwww.webofscience.com%2Fwos%2Fwoscc%2Ffull-record%2FWOS:000077801500018","View Full Record in Web of Science")</f>
        <v>View Full Record in Web of Science</v>
      </c>
    </row>
    <row r="452" spans="1:72" x14ac:dyDescent="0.15">
      <c r="A452" t="s">
        <v>72</v>
      </c>
      <c r="B452" t="s">
        <v>5537</v>
      </c>
      <c r="C452" t="s">
        <v>74</v>
      </c>
      <c r="D452" t="s">
        <v>74</v>
      </c>
      <c r="E452" t="s">
        <v>74</v>
      </c>
      <c r="F452" t="s">
        <v>5537</v>
      </c>
      <c r="G452" t="s">
        <v>74</v>
      </c>
      <c r="H452" t="s">
        <v>74</v>
      </c>
      <c r="I452" t="s">
        <v>5538</v>
      </c>
      <c r="J452" t="s">
        <v>5500</v>
      </c>
      <c r="K452" t="s">
        <v>74</v>
      </c>
      <c r="L452" t="s">
        <v>74</v>
      </c>
      <c r="M452" t="s">
        <v>77</v>
      </c>
      <c r="N452" t="s">
        <v>78</v>
      </c>
      <c r="O452" t="s">
        <v>74</v>
      </c>
      <c r="P452" t="s">
        <v>74</v>
      </c>
      <c r="Q452" t="s">
        <v>74</v>
      </c>
      <c r="R452" t="s">
        <v>74</v>
      </c>
      <c r="S452" t="s">
        <v>74</v>
      </c>
      <c r="T452" t="s">
        <v>5539</v>
      </c>
      <c r="U452" t="s">
        <v>5540</v>
      </c>
      <c r="V452" t="s">
        <v>5541</v>
      </c>
      <c r="W452" t="s">
        <v>5542</v>
      </c>
      <c r="X452" t="s">
        <v>5543</v>
      </c>
      <c r="Y452" t="s">
        <v>5544</v>
      </c>
      <c r="Z452" t="s">
        <v>5545</v>
      </c>
      <c r="AA452" t="s">
        <v>74</v>
      </c>
      <c r="AB452" t="s">
        <v>74</v>
      </c>
      <c r="AC452" t="s">
        <v>74</v>
      </c>
      <c r="AD452" t="s">
        <v>74</v>
      </c>
      <c r="AE452" t="s">
        <v>74</v>
      </c>
      <c r="AF452" t="s">
        <v>74</v>
      </c>
      <c r="AG452">
        <v>67</v>
      </c>
      <c r="AH452">
        <v>48</v>
      </c>
      <c r="AI452">
        <v>53</v>
      </c>
      <c r="AJ452">
        <v>0</v>
      </c>
      <c r="AK452">
        <v>13</v>
      </c>
      <c r="AL452" t="s">
        <v>1159</v>
      </c>
      <c r="AM452" t="s">
        <v>1160</v>
      </c>
      <c r="AN452" t="s">
        <v>1161</v>
      </c>
      <c r="AO452" t="s">
        <v>5508</v>
      </c>
      <c r="AP452" t="s">
        <v>74</v>
      </c>
      <c r="AQ452" t="s">
        <v>74</v>
      </c>
      <c r="AR452" t="s">
        <v>5509</v>
      </c>
      <c r="AS452" t="s">
        <v>5510</v>
      </c>
      <c r="AT452" t="s">
        <v>74</v>
      </c>
      <c r="AU452">
        <v>1998</v>
      </c>
      <c r="AV452">
        <v>173</v>
      </c>
      <c r="AW452" t="s">
        <v>74</v>
      </c>
      <c r="AX452" t="s">
        <v>74</v>
      </c>
      <c r="AY452" t="s">
        <v>74</v>
      </c>
      <c r="AZ452" t="s">
        <v>74</v>
      </c>
      <c r="BA452" t="s">
        <v>74</v>
      </c>
      <c r="BB452">
        <v>149</v>
      </c>
      <c r="BC452">
        <v>162</v>
      </c>
      <c r="BD452" t="s">
        <v>74</v>
      </c>
      <c r="BE452" t="s">
        <v>5546</v>
      </c>
      <c r="BF452" t="str">
        <f>HYPERLINK("http://dx.doi.org/10.3354/meps173149","http://dx.doi.org/10.3354/meps173149")</f>
        <v>http://dx.doi.org/10.3354/meps173149</v>
      </c>
      <c r="BG452" t="s">
        <v>74</v>
      </c>
      <c r="BH452" t="s">
        <v>74</v>
      </c>
      <c r="BI452">
        <v>14</v>
      </c>
      <c r="BJ452" t="s">
        <v>5512</v>
      </c>
      <c r="BK452" t="s">
        <v>98</v>
      </c>
      <c r="BL452" t="s">
        <v>5513</v>
      </c>
      <c r="BM452" t="s">
        <v>5547</v>
      </c>
      <c r="BN452" t="s">
        <v>74</v>
      </c>
      <c r="BO452" t="s">
        <v>100</v>
      </c>
      <c r="BP452" t="s">
        <v>74</v>
      </c>
      <c r="BQ452" t="s">
        <v>74</v>
      </c>
      <c r="BR452" t="s">
        <v>101</v>
      </c>
      <c r="BS452" t="s">
        <v>5548</v>
      </c>
      <c r="BT452" t="str">
        <f>HYPERLINK("https%3A%2F%2Fwww.webofscience.com%2Fwos%2Fwoscc%2Ffull-record%2FWOS:000077093600013","View Full Record in Web of Science")</f>
        <v>View Full Record in Web of Science</v>
      </c>
    </row>
    <row r="453" spans="1:72" x14ac:dyDescent="0.15">
      <c r="A453" t="s">
        <v>72</v>
      </c>
      <c r="B453" t="s">
        <v>5549</v>
      </c>
      <c r="C453" t="s">
        <v>74</v>
      </c>
      <c r="D453" t="s">
        <v>74</v>
      </c>
      <c r="E453" t="s">
        <v>74</v>
      </c>
      <c r="F453" t="s">
        <v>5549</v>
      </c>
      <c r="G453" t="s">
        <v>74</v>
      </c>
      <c r="H453" t="s">
        <v>74</v>
      </c>
      <c r="I453" t="s">
        <v>5550</v>
      </c>
      <c r="J453" t="s">
        <v>5500</v>
      </c>
      <c r="K453" t="s">
        <v>74</v>
      </c>
      <c r="L453" t="s">
        <v>74</v>
      </c>
      <c r="M453" t="s">
        <v>77</v>
      </c>
      <c r="N453" t="s">
        <v>78</v>
      </c>
      <c r="O453" t="s">
        <v>74</v>
      </c>
      <c r="P453" t="s">
        <v>74</v>
      </c>
      <c r="Q453" t="s">
        <v>74</v>
      </c>
      <c r="R453" t="s">
        <v>74</v>
      </c>
      <c r="S453" t="s">
        <v>74</v>
      </c>
      <c r="T453" t="s">
        <v>5551</v>
      </c>
      <c r="U453" t="s">
        <v>5552</v>
      </c>
      <c r="V453" t="s">
        <v>5553</v>
      </c>
      <c r="W453" t="s">
        <v>5554</v>
      </c>
      <c r="X453" t="s">
        <v>5555</v>
      </c>
      <c r="Y453" t="s">
        <v>5556</v>
      </c>
      <c r="Z453" t="s">
        <v>5557</v>
      </c>
      <c r="AA453" t="s">
        <v>74</v>
      </c>
      <c r="AB453" t="s">
        <v>74</v>
      </c>
      <c r="AC453" t="s">
        <v>74</v>
      </c>
      <c r="AD453" t="s">
        <v>74</v>
      </c>
      <c r="AE453" t="s">
        <v>74</v>
      </c>
      <c r="AF453" t="s">
        <v>74</v>
      </c>
      <c r="AG453">
        <v>55</v>
      </c>
      <c r="AH453">
        <v>65</v>
      </c>
      <c r="AI453">
        <v>70</v>
      </c>
      <c r="AJ453">
        <v>0</v>
      </c>
      <c r="AK453">
        <v>6</v>
      </c>
      <c r="AL453" t="s">
        <v>1159</v>
      </c>
      <c r="AM453" t="s">
        <v>1160</v>
      </c>
      <c r="AN453" t="s">
        <v>1161</v>
      </c>
      <c r="AO453" t="s">
        <v>5508</v>
      </c>
      <c r="AP453" t="s">
        <v>5522</v>
      </c>
      <c r="AQ453" t="s">
        <v>74</v>
      </c>
      <c r="AR453" t="s">
        <v>5509</v>
      </c>
      <c r="AS453" t="s">
        <v>5510</v>
      </c>
      <c r="AT453" t="s">
        <v>74</v>
      </c>
      <c r="AU453">
        <v>1998</v>
      </c>
      <c r="AV453">
        <v>173</v>
      </c>
      <c r="AW453" t="s">
        <v>74</v>
      </c>
      <c r="AX453" t="s">
        <v>74</v>
      </c>
      <c r="AY453" t="s">
        <v>74</v>
      </c>
      <c r="AZ453" t="s">
        <v>74</v>
      </c>
      <c r="BA453" t="s">
        <v>74</v>
      </c>
      <c r="BB453">
        <v>163</v>
      </c>
      <c r="BC453">
        <v>180</v>
      </c>
      <c r="BD453" t="s">
        <v>74</v>
      </c>
      <c r="BE453" t="s">
        <v>5558</v>
      </c>
      <c r="BF453" t="str">
        <f>HYPERLINK("http://dx.doi.org/10.3354/meps173163","http://dx.doi.org/10.3354/meps173163")</f>
        <v>http://dx.doi.org/10.3354/meps173163</v>
      </c>
      <c r="BG453" t="s">
        <v>74</v>
      </c>
      <c r="BH453" t="s">
        <v>74</v>
      </c>
      <c r="BI453">
        <v>18</v>
      </c>
      <c r="BJ453" t="s">
        <v>5512</v>
      </c>
      <c r="BK453" t="s">
        <v>98</v>
      </c>
      <c r="BL453" t="s">
        <v>5513</v>
      </c>
      <c r="BM453" t="s">
        <v>5547</v>
      </c>
      <c r="BN453" t="s">
        <v>74</v>
      </c>
      <c r="BO453" t="s">
        <v>100</v>
      </c>
      <c r="BP453" t="s">
        <v>74</v>
      </c>
      <c r="BQ453" t="s">
        <v>74</v>
      </c>
      <c r="BR453" t="s">
        <v>101</v>
      </c>
      <c r="BS453" t="s">
        <v>5559</v>
      </c>
      <c r="BT453" t="str">
        <f>HYPERLINK("https%3A%2F%2Fwww.webofscience.com%2Fwos%2Fwoscc%2Ffull-record%2FWOS:000077093600014","View Full Record in Web of Science")</f>
        <v>View Full Record in Web of Science</v>
      </c>
    </row>
    <row r="454" spans="1:72" x14ac:dyDescent="0.15">
      <c r="A454" t="s">
        <v>72</v>
      </c>
      <c r="B454" t="s">
        <v>5560</v>
      </c>
      <c r="C454" t="s">
        <v>74</v>
      </c>
      <c r="D454" t="s">
        <v>74</v>
      </c>
      <c r="E454" t="s">
        <v>74</v>
      </c>
      <c r="F454" t="s">
        <v>5560</v>
      </c>
      <c r="G454" t="s">
        <v>74</v>
      </c>
      <c r="H454" t="s">
        <v>74</v>
      </c>
      <c r="I454" t="s">
        <v>5561</v>
      </c>
      <c r="J454" t="s">
        <v>5500</v>
      </c>
      <c r="K454" t="s">
        <v>74</v>
      </c>
      <c r="L454" t="s">
        <v>74</v>
      </c>
      <c r="M454" t="s">
        <v>77</v>
      </c>
      <c r="N454" t="s">
        <v>78</v>
      </c>
      <c r="O454" t="s">
        <v>74</v>
      </c>
      <c r="P454" t="s">
        <v>74</v>
      </c>
      <c r="Q454" t="s">
        <v>74</v>
      </c>
      <c r="R454" t="s">
        <v>74</v>
      </c>
      <c r="S454" t="s">
        <v>74</v>
      </c>
      <c r="T454" t="s">
        <v>5562</v>
      </c>
      <c r="U454" t="s">
        <v>5563</v>
      </c>
      <c r="V454" t="s">
        <v>5564</v>
      </c>
      <c r="W454" t="s">
        <v>5565</v>
      </c>
      <c r="X454" t="s">
        <v>5566</v>
      </c>
      <c r="Y454" t="s">
        <v>5567</v>
      </c>
      <c r="Z454" t="s">
        <v>5568</v>
      </c>
      <c r="AA454" t="s">
        <v>74</v>
      </c>
      <c r="AB454" t="s">
        <v>74</v>
      </c>
      <c r="AC454" t="s">
        <v>74</v>
      </c>
      <c r="AD454" t="s">
        <v>74</v>
      </c>
      <c r="AE454" t="s">
        <v>74</v>
      </c>
      <c r="AF454" t="s">
        <v>74</v>
      </c>
      <c r="AG454">
        <v>63</v>
      </c>
      <c r="AH454">
        <v>86</v>
      </c>
      <c r="AI454">
        <v>88</v>
      </c>
      <c r="AJ454">
        <v>1</v>
      </c>
      <c r="AK454">
        <v>14</v>
      </c>
      <c r="AL454" t="s">
        <v>1159</v>
      </c>
      <c r="AM454" t="s">
        <v>1160</v>
      </c>
      <c r="AN454" t="s">
        <v>1161</v>
      </c>
      <c r="AO454" t="s">
        <v>5508</v>
      </c>
      <c r="AP454" t="s">
        <v>74</v>
      </c>
      <c r="AQ454" t="s">
        <v>74</v>
      </c>
      <c r="AR454" t="s">
        <v>5509</v>
      </c>
      <c r="AS454" t="s">
        <v>5510</v>
      </c>
      <c r="AT454" t="s">
        <v>74</v>
      </c>
      <c r="AU454">
        <v>1998</v>
      </c>
      <c r="AV454">
        <v>171</v>
      </c>
      <c r="AW454" t="s">
        <v>74</v>
      </c>
      <c r="AX454" t="s">
        <v>74</v>
      </c>
      <c r="AY454" t="s">
        <v>74</v>
      </c>
      <c r="AZ454" t="s">
        <v>74</v>
      </c>
      <c r="BA454" t="s">
        <v>74</v>
      </c>
      <c r="BB454">
        <v>209</v>
      </c>
      <c r="BC454">
        <v>219</v>
      </c>
      <c r="BD454" t="s">
        <v>74</v>
      </c>
      <c r="BE454" t="s">
        <v>5569</v>
      </c>
      <c r="BF454" t="str">
        <f>HYPERLINK("http://dx.doi.org/10.3354/meps171209","http://dx.doi.org/10.3354/meps171209")</f>
        <v>http://dx.doi.org/10.3354/meps171209</v>
      </c>
      <c r="BG454" t="s">
        <v>74</v>
      </c>
      <c r="BH454" t="s">
        <v>74</v>
      </c>
      <c r="BI454">
        <v>11</v>
      </c>
      <c r="BJ454" t="s">
        <v>5512</v>
      </c>
      <c r="BK454" t="s">
        <v>98</v>
      </c>
      <c r="BL454" t="s">
        <v>5513</v>
      </c>
      <c r="BM454" t="s">
        <v>5570</v>
      </c>
      <c r="BN454" t="s">
        <v>74</v>
      </c>
      <c r="BO454" t="s">
        <v>100</v>
      </c>
      <c r="BP454" t="s">
        <v>74</v>
      </c>
      <c r="BQ454" t="s">
        <v>74</v>
      </c>
      <c r="BR454" t="s">
        <v>101</v>
      </c>
      <c r="BS454" t="s">
        <v>5571</v>
      </c>
      <c r="BT454" t="str">
        <f>HYPERLINK("https%3A%2F%2Fwww.webofscience.com%2Fwos%2Fwoscc%2Ffull-record%2FWOS:000076561600018","View Full Record in Web of Science")</f>
        <v>View Full Record in Web of Science</v>
      </c>
    </row>
    <row r="455" spans="1:72" x14ac:dyDescent="0.15">
      <c r="A455" t="s">
        <v>72</v>
      </c>
      <c r="B455" t="s">
        <v>5572</v>
      </c>
      <c r="C455" t="s">
        <v>74</v>
      </c>
      <c r="D455" t="s">
        <v>74</v>
      </c>
      <c r="E455" t="s">
        <v>74</v>
      </c>
      <c r="F455" t="s">
        <v>5572</v>
      </c>
      <c r="G455" t="s">
        <v>74</v>
      </c>
      <c r="H455" t="s">
        <v>74</v>
      </c>
      <c r="I455" t="s">
        <v>5573</v>
      </c>
      <c r="J455" t="s">
        <v>5500</v>
      </c>
      <c r="K455" t="s">
        <v>74</v>
      </c>
      <c r="L455" t="s">
        <v>74</v>
      </c>
      <c r="M455" t="s">
        <v>77</v>
      </c>
      <c r="N455" t="s">
        <v>78</v>
      </c>
      <c r="O455" t="s">
        <v>74</v>
      </c>
      <c r="P455" t="s">
        <v>74</v>
      </c>
      <c r="Q455" t="s">
        <v>74</v>
      </c>
      <c r="R455" t="s">
        <v>74</v>
      </c>
      <c r="S455" t="s">
        <v>74</v>
      </c>
      <c r="T455" t="s">
        <v>5574</v>
      </c>
      <c r="U455" t="s">
        <v>5575</v>
      </c>
      <c r="V455" t="s">
        <v>5576</v>
      </c>
      <c r="W455" t="s">
        <v>5577</v>
      </c>
      <c r="X455" t="s">
        <v>5578</v>
      </c>
      <c r="Y455" t="s">
        <v>5579</v>
      </c>
      <c r="Z455" t="s">
        <v>5580</v>
      </c>
      <c r="AA455" t="s">
        <v>5581</v>
      </c>
      <c r="AB455" t="s">
        <v>5582</v>
      </c>
      <c r="AC455" t="s">
        <v>74</v>
      </c>
      <c r="AD455" t="s">
        <v>74</v>
      </c>
      <c r="AE455" t="s">
        <v>74</v>
      </c>
      <c r="AF455" t="s">
        <v>74</v>
      </c>
      <c r="AG455">
        <v>46</v>
      </c>
      <c r="AH455">
        <v>126</v>
      </c>
      <c r="AI455">
        <v>143</v>
      </c>
      <c r="AJ455">
        <v>2</v>
      </c>
      <c r="AK455">
        <v>28</v>
      </c>
      <c r="AL455" t="s">
        <v>1159</v>
      </c>
      <c r="AM455" t="s">
        <v>1160</v>
      </c>
      <c r="AN455" t="s">
        <v>1161</v>
      </c>
      <c r="AO455" t="s">
        <v>5508</v>
      </c>
      <c r="AP455" t="s">
        <v>74</v>
      </c>
      <c r="AQ455" t="s">
        <v>74</v>
      </c>
      <c r="AR455" t="s">
        <v>5509</v>
      </c>
      <c r="AS455" t="s">
        <v>5510</v>
      </c>
      <c r="AT455" t="s">
        <v>74</v>
      </c>
      <c r="AU455">
        <v>1998</v>
      </c>
      <c r="AV455">
        <v>170</v>
      </c>
      <c r="AW455" t="s">
        <v>74</v>
      </c>
      <c r="AX455" t="s">
        <v>74</v>
      </c>
      <c r="AY455" t="s">
        <v>74</v>
      </c>
      <c r="AZ455" t="s">
        <v>74</v>
      </c>
      <c r="BA455" t="s">
        <v>74</v>
      </c>
      <c r="BB455">
        <v>189</v>
      </c>
      <c r="BC455">
        <v>201</v>
      </c>
      <c r="BD455" t="s">
        <v>74</v>
      </c>
      <c r="BE455" t="s">
        <v>5583</v>
      </c>
      <c r="BF455" t="str">
        <f>HYPERLINK("http://dx.doi.org/10.3354/meps170189","http://dx.doi.org/10.3354/meps170189")</f>
        <v>http://dx.doi.org/10.3354/meps170189</v>
      </c>
      <c r="BG455" t="s">
        <v>74</v>
      </c>
      <c r="BH455" t="s">
        <v>74</v>
      </c>
      <c r="BI455">
        <v>13</v>
      </c>
      <c r="BJ455" t="s">
        <v>5512</v>
      </c>
      <c r="BK455" t="s">
        <v>98</v>
      </c>
      <c r="BL455" t="s">
        <v>5513</v>
      </c>
      <c r="BM455" t="s">
        <v>5584</v>
      </c>
      <c r="BN455" t="s">
        <v>74</v>
      </c>
      <c r="BO455" t="s">
        <v>100</v>
      </c>
      <c r="BP455" t="s">
        <v>74</v>
      </c>
      <c r="BQ455" t="s">
        <v>74</v>
      </c>
      <c r="BR455" t="s">
        <v>101</v>
      </c>
      <c r="BS455" t="s">
        <v>5585</v>
      </c>
      <c r="BT455" t="str">
        <f>HYPERLINK("https%3A%2F%2Fwww.webofscience.com%2Fwos%2Fwoscc%2Ffull-record%2FWOS:000076335500016","View Full Record in Web of Science")</f>
        <v>View Full Record in Web of Science</v>
      </c>
    </row>
    <row r="456" spans="1:72" x14ac:dyDescent="0.15">
      <c r="A456" t="s">
        <v>72</v>
      </c>
      <c r="B456" t="s">
        <v>5586</v>
      </c>
      <c r="C456" t="s">
        <v>74</v>
      </c>
      <c r="D456" t="s">
        <v>74</v>
      </c>
      <c r="E456" t="s">
        <v>74</v>
      </c>
      <c r="F456" t="s">
        <v>5586</v>
      </c>
      <c r="G456" t="s">
        <v>74</v>
      </c>
      <c r="H456" t="s">
        <v>74</v>
      </c>
      <c r="I456" t="s">
        <v>5587</v>
      </c>
      <c r="J456" t="s">
        <v>5500</v>
      </c>
      <c r="K456" t="s">
        <v>74</v>
      </c>
      <c r="L456" t="s">
        <v>74</v>
      </c>
      <c r="M456" t="s">
        <v>77</v>
      </c>
      <c r="N456" t="s">
        <v>78</v>
      </c>
      <c r="O456" t="s">
        <v>74</v>
      </c>
      <c r="P456" t="s">
        <v>74</v>
      </c>
      <c r="Q456" t="s">
        <v>74</v>
      </c>
      <c r="R456" t="s">
        <v>74</v>
      </c>
      <c r="S456" t="s">
        <v>74</v>
      </c>
      <c r="T456" t="s">
        <v>5588</v>
      </c>
      <c r="U456" t="s">
        <v>5589</v>
      </c>
      <c r="V456" t="s">
        <v>5590</v>
      </c>
      <c r="W456" t="s">
        <v>5591</v>
      </c>
      <c r="X456" t="s">
        <v>5592</v>
      </c>
      <c r="Y456" t="s">
        <v>5593</v>
      </c>
      <c r="Z456" t="s">
        <v>5594</v>
      </c>
      <c r="AA456" t="s">
        <v>74</v>
      </c>
      <c r="AB456" t="s">
        <v>5595</v>
      </c>
      <c r="AC456" t="s">
        <v>74</v>
      </c>
      <c r="AD456" t="s">
        <v>74</v>
      </c>
      <c r="AE456" t="s">
        <v>74</v>
      </c>
      <c r="AF456" t="s">
        <v>74</v>
      </c>
      <c r="AG456">
        <v>43</v>
      </c>
      <c r="AH456">
        <v>58</v>
      </c>
      <c r="AI456">
        <v>61</v>
      </c>
      <c r="AJ456">
        <v>0</v>
      </c>
      <c r="AK456">
        <v>4</v>
      </c>
      <c r="AL456" t="s">
        <v>1159</v>
      </c>
      <c r="AM456" t="s">
        <v>1160</v>
      </c>
      <c r="AN456" t="s">
        <v>1161</v>
      </c>
      <c r="AO456" t="s">
        <v>5508</v>
      </c>
      <c r="AP456" t="s">
        <v>74</v>
      </c>
      <c r="AQ456" t="s">
        <v>74</v>
      </c>
      <c r="AR456" t="s">
        <v>5509</v>
      </c>
      <c r="AS456" t="s">
        <v>5510</v>
      </c>
      <c r="AT456" t="s">
        <v>74</v>
      </c>
      <c r="AU456">
        <v>1998</v>
      </c>
      <c r="AV456">
        <v>170</v>
      </c>
      <c r="AW456" t="s">
        <v>74</v>
      </c>
      <c r="AX456" t="s">
        <v>74</v>
      </c>
      <c r="AY456" t="s">
        <v>74</v>
      </c>
      <c r="AZ456" t="s">
        <v>74</v>
      </c>
      <c r="BA456" t="s">
        <v>74</v>
      </c>
      <c r="BB456">
        <v>203</v>
      </c>
      <c r="BC456">
        <v>213</v>
      </c>
      <c r="BD456" t="s">
        <v>74</v>
      </c>
      <c r="BE456" t="s">
        <v>5596</v>
      </c>
      <c r="BF456" t="str">
        <f>HYPERLINK("http://dx.doi.org/10.3354/meps170203","http://dx.doi.org/10.3354/meps170203")</f>
        <v>http://dx.doi.org/10.3354/meps170203</v>
      </c>
      <c r="BG456" t="s">
        <v>74</v>
      </c>
      <c r="BH456" t="s">
        <v>74</v>
      </c>
      <c r="BI456">
        <v>11</v>
      </c>
      <c r="BJ456" t="s">
        <v>5512</v>
      </c>
      <c r="BK456" t="s">
        <v>98</v>
      </c>
      <c r="BL456" t="s">
        <v>5513</v>
      </c>
      <c r="BM456" t="s">
        <v>5584</v>
      </c>
      <c r="BN456" t="s">
        <v>74</v>
      </c>
      <c r="BO456" t="s">
        <v>100</v>
      </c>
      <c r="BP456" t="s">
        <v>74</v>
      </c>
      <c r="BQ456" t="s">
        <v>74</v>
      </c>
      <c r="BR456" t="s">
        <v>101</v>
      </c>
      <c r="BS456" t="s">
        <v>5597</v>
      </c>
      <c r="BT456" t="str">
        <f>HYPERLINK("https%3A%2F%2Fwww.webofscience.com%2Fwos%2Fwoscc%2Ffull-record%2FWOS:000076335500017","View Full Record in Web of Science")</f>
        <v>View Full Record in Web of Science</v>
      </c>
    </row>
    <row r="457" spans="1:72" x14ac:dyDescent="0.15">
      <c r="A457" t="s">
        <v>72</v>
      </c>
      <c r="B457" t="s">
        <v>5598</v>
      </c>
      <c r="C457" t="s">
        <v>74</v>
      </c>
      <c r="D457" t="s">
        <v>74</v>
      </c>
      <c r="E457" t="s">
        <v>74</v>
      </c>
      <c r="F457" t="s">
        <v>5598</v>
      </c>
      <c r="G457" t="s">
        <v>74</v>
      </c>
      <c r="H457" t="s">
        <v>74</v>
      </c>
      <c r="I457" t="s">
        <v>5599</v>
      </c>
      <c r="J457" t="s">
        <v>5500</v>
      </c>
      <c r="K457" t="s">
        <v>74</v>
      </c>
      <c r="L457" t="s">
        <v>74</v>
      </c>
      <c r="M457" t="s">
        <v>77</v>
      </c>
      <c r="N457" t="s">
        <v>78</v>
      </c>
      <c r="O457" t="s">
        <v>74</v>
      </c>
      <c r="P457" t="s">
        <v>74</v>
      </c>
      <c r="Q457" t="s">
        <v>74</v>
      </c>
      <c r="R457" t="s">
        <v>74</v>
      </c>
      <c r="S457" t="s">
        <v>74</v>
      </c>
      <c r="T457" t="s">
        <v>5600</v>
      </c>
      <c r="U457" t="s">
        <v>5601</v>
      </c>
      <c r="V457" t="s">
        <v>5602</v>
      </c>
      <c r="W457" t="s">
        <v>5603</v>
      </c>
      <c r="X457" t="s">
        <v>5604</v>
      </c>
      <c r="Y457" t="s">
        <v>5605</v>
      </c>
      <c r="Z457" t="s">
        <v>5606</v>
      </c>
      <c r="AA457" t="s">
        <v>5607</v>
      </c>
      <c r="AB457" t="s">
        <v>5608</v>
      </c>
      <c r="AC457" t="s">
        <v>74</v>
      </c>
      <c r="AD457" t="s">
        <v>74</v>
      </c>
      <c r="AE457" t="s">
        <v>74</v>
      </c>
      <c r="AF457" t="s">
        <v>74</v>
      </c>
      <c r="AG457">
        <v>63</v>
      </c>
      <c r="AH457">
        <v>182</v>
      </c>
      <c r="AI457">
        <v>206</v>
      </c>
      <c r="AJ457">
        <v>6</v>
      </c>
      <c r="AK457">
        <v>76</v>
      </c>
      <c r="AL457" t="s">
        <v>1159</v>
      </c>
      <c r="AM457" t="s">
        <v>1160</v>
      </c>
      <c r="AN457" t="s">
        <v>1161</v>
      </c>
      <c r="AO457" t="s">
        <v>5508</v>
      </c>
      <c r="AP457" t="s">
        <v>74</v>
      </c>
      <c r="AQ457" t="s">
        <v>74</v>
      </c>
      <c r="AR457" t="s">
        <v>5509</v>
      </c>
      <c r="AS457" t="s">
        <v>5510</v>
      </c>
      <c r="AT457" t="s">
        <v>74</v>
      </c>
      <c r="AU457">
        <v>1998</v>
      </c>
      <c r="AV457">
        <v>169</v>
      </c>
      <c r="AW457" t="s">
        <v>74</v>
      </c>
      <c r="AX457" t="s">
        <v>74</v>
      </c>
      <c r="AY457" t="s">
        <v>74</v>
      </c>
      <c r="AZ457" t="s">
        <v>74</v>
      </c>
      <c r="BA457" t="s">
        <v>74</v>
      </c>
      <c r="BB457">
        <v>65</v>
      </c>
      <c r="BC457">
        <v>76</v>
      </c>
      <c r="BD457" t="s">
        <v>74</v>
      </c>
      <c r="BE457" t="s">
        <v>5609</v>
      </c>
      <c r="BF457" t="str">
        <f>HYPERLINK("http://dx.doi.org/10.3354/meps169065","http://dx.doi.org/10.3354/meps169065")</f>
        <v>http://dx.doi.org/10.3354/meps169065</v>
      </c>
      <c r="BG457" t="s">
        <v>74</v>
      </c>
      <c r="BH457" t="s">
        <v>74</v>
      </c>
      <c r="BI457">
        <v>12</v>
      </c>
      <c r="BJ457" t="s">
        <v>5512</v>
      </c>
      <c r="BK457" t="s">
        <v>98</v>
      </c>
      <c r="BL457" t="s">
        <v>5513</v>
      </c>
      <c r="BM457" t="s">
        <v>5610</v>
      </c>
      <c r="BN457" t="s">
        <v>74</v>
      </c>
      <c r="BO457" t="s">
        <v>100</v>
      </c>
      <c r="BP457" t="s">
        <v>74</v>
      </c>
      <c r="BQ457" t="s">
        <v>74</v>
      </c>
      <c r="BR457" t="s">
        <v>101</v>
      </c>
      <c r="BS457" t="s">
        <v>5611</v>
      </c>
      <c r="BT457" t="str">
        <f>HYPERLINK("https%3A%2F%2Fwww.webofscience.com%2Fwos%2Fwoscc%2Ffull-record%2FWOS:000075589000006","View Full Record in Web of Science")</f>
        <v>View Full Record in Web of Science</v>
      </c>
    </row>
    <row r="458" spans="1:72" x14ac:dyDescent="0.15">
      <c r="A458" t="s">
        <v>72</v>
      </c>
      <c r="B458" t="s">
        <v>5612</v>
      </c>
      <c r="C458" t="s">
        <v>74</v>
      </c>
      <c r="D458" t="s">
        <v>74</v>
      </c>
      <c r="E458" t="s">
        <v>74</v>
      </c>
      <c r="F458" t="s">
        <v>5612</v>
      </c>
      <c r="G458" t="s">
        <v>74</v>
      </c>
      <c r="H458" t="s">
        <v>74</v>
      </c>
      <c r="I458" t="s">
        <v>5613</v>
      </c>
      <c r="J458" t="s">
        <v>5500</v>
      </c>
      <c r="K458" t="s">
        <v>74</v>
      </c>
      <c r="L458" t="s">
        <v>74</v>
      </c>
      <c r="M458" t="s">
        <v>77</v>
      </c>
      <c r="N458" t="s">
        <v>78</v>
      </c>
      <c r="O458" t="s">
        <v>74</v>
      </c>
      <c r="P458" t="s">
        <v>74</v>
      </c>
      <c r="Q458" t="s">
        <v>74</v>
      </c>
      <c r="R458" t="s">
        <v>74</v>
      </c>
      <c r="S458" t="s">
        <v>74</v>
      </c>
      <c r="T458" t="s">
        <v>5614</v>
      </c>
      <c r="U458" t="s">
        <v>5615</v>
      </c>
      <c r="V458" t="s">
        <v>5616</v>
      </c>
      <c r="W458" t="s">
        <v>5617</v>
      </c>
      <c r="X458" t="s">
        <v>1112</v>
      </c>
      <c r="Y458" t="s">
        <v>5618</v>
      </c>
      <c r="Z458" t="s">
        <v>5619</v>
      </c>
      <c r="AA458" t="s">
        <v>74</v>
      </c>
      <c r="AB458" t="s">
        <v>5620</v>
      </c>
      <c r="AC458" t="s">
        <v>74</v>
      </c>
      <c r="AD458" t="s">
        <v>74</v>
      </c>
      <c r="AE458" t="s">
        <v>74</v>
      </c>
      <c r="AF458" t="s">
        <v>74</v>
      </c>
      <c r="AG458">
        <v>49</v>
      </c>
      <c r="AH458">
        <v>56</v>
      </c>
      <c r="AI458">
        <v>62</v>
      </c>
      <c r="AJ458">
        <v>0</v>
      </c>
      <c r="AK458">
        <v>9</v>
      </c>
      <c r="AL458" t="s">
        <v>1159</v>
      </c>
      <c r="AM458" t="s">
        <v>1160</v>
      </c>
      <c r="AN458" t="s">
        <v>1161</v>
      </c>
      <c r="AO458" t="s">
        <v>5508</v>
      </c>
      <c r="AP458" t="s">
        <v>74</v>
      </c>
      <c r="AQ458" t="s">
        <v>74</v>
      </c>
      <c r="AR458" t="s">
        <v>5509</v>
      </c>
      <c r="AS458" t="s">
        <v>5510</v>
      </c>
      <c r="AT458" t="s">
        <v>74</v>
      </c>
      <c r="AU458">
        <v>1998</v>
      </c>
      <c r="AV458">
        <v>169</v>
      </c>
      <c r="AW458" t="s">
        <v>74</v>
      </c>
      <c r="AX458" t="s">
        <v>74</v>
      </c>
      <c r="AY458" t="s">
        <v>74</v>
      </c>
      <c r="AZ458" t="s">
        <v>74</v>
      </c>
      <c r="BA458" t="s">
        <v>74</v>
      </c>
      <c r="BB458">
        <v>113</v>
      </c>
      <c r="BC458">
        <v>121</v>
      </c>
      <c r="BD458" t="s">
        <v>74</v>
      </c>
      <c r="BE458" t="s">
        <v>5621</v>
      </c>
      <c r="BF458" t="str">
        <f>HYPERLINK("http://dx.doi.org/10.3354/meps169113","http://dx.doi.org/10.3354/meps169113")</f>
        <v>http://dx.doi.org/10.3354/meps169113</v>
      </c>
      <c r="BG458" t="s">
        <v>74</v>
      </c>
      <c r="BH458" t="s">
        <v>74</v>
      </c>
      <c r="BI458">
        <v>9</v>
      </c>
      <c r="BJ458" t="s">
        <v>5512</v>
      </c>
      <c r="BK458" t="s">
        <v>98</v>
      </c>
      <c r="BL458" t="s">
        <v>5513</v>
      </c>
      <c r="BM458" t="s">
        <v>5610</v>
      </c>
      <c r="BN458" t="s">
        <v>74</v>
      </c>
      <c r="BO458" t="s">
        <v>100</v>
      </c>
      <c r="BP458" t="s">
        <v>74</v>
      </c>
      <c r="BQ458" t="s">
        <v>74</v>
      </c>
      <c r="BR458" t="s">
        <v>101</v>
      </c>
      <c r="BS458" t="s">
        <v>5622</v>
      </c>
      <c r="BT458" t="str">
        <f>HYPERLINK("https%3A%2F%2Fwww.webofscience.com%2Fwos%2Fwoscc%2Ffull-record%2FWOS:000075589000010","View Full Record in Web of Science")</f>
        <v>View Full Record in Web of Science</v>
      </c>
    </row>
    <row r="459" spans="1:72" x14ac:dyDescent="0.15">
      <c r="A459" t="s">
        <v>72</v>
      </c>
      <c r="B459" t="s">
        <v>5623</v>
      </c>
      <c r="C459" t="s">
        <v>74</v>
      </c>
      <c r="D459" t="s">
        <v>74</v>
      </c>
      <c r="E459" t="s">
        <v>74</v>
      </c>
      <c r="F459" t="s">
        <v>5623</v>
      </c>
      <c r="G459" t="s">
        <v>74</v>
      </c>
      <c r="H459" t="s">
        <v>74</v>
      </c>
      <c r="I459" t="s">
        <v>5624</v>
      </c>
      <c r="J459" t="s">
        <v>5500</v>
      </c>
      <c r="K459" t="s">
        <v>74</v>
      </c>
      <c r="L459" t="s">
        <v>74</v>
      </c>
      <c r="M459" t="s">
        <v>77</v>
      </c>
      <c r="N459" t="s">
        <v>78</v>
      </c>
      <c r="O459" t="s">
        <v>74</v>
      </c>
      <c r="P459" t="s">
        <v>74</v>
      </c>
      <c r="Q459" t="s">
        <v>74</v>
      </c>
      <c r="R459" t="s">
        <v>74</v>
      </c>
      <c r="S459" t="s">
        <v>74</v>
      </c>
      <c r="T459" t="s">
        <v>5625</v>
      </c>
      <c r="U459" t="s">
        <v>5626</v>
      </c>
      <c r="V459" t="s">
        <v>5627</v>
      </c>
      <c r="W459" t="s">
        <v>5628</v>
      </c>
      <c r="X459" t="s">
        <v>1292</v>
      </c>
      <c r="Y459" t="s">
        <v>5629</v>
      </c>
      <c r="Z459" t="s">
        <v>5630</v>
      </c>
      <c r="AA459" t="s">
        <v>74</v>
      </c>
      <c r="AB459" t="s">
        <v>74</v>
      </c>
      <c r="AC459" t="s">
        <v>74</v>
      </c>
      <c r="AD459" t="s">
        <v>74</v>
      </c>
      <c r="AE459" t="s">
        <v>74</v>
      </c>
      <c r="AF459" t="s">
        <v>74</v>
      </c>
      <c r="AG459">
        <v>31</v>
      </c>
      <c r="AH459">
        <v>44</v>
      </c>
      <c r="AI459">
        <v>48</v>
      </c>
      <c r="AJ459">
        <v>1</v>
      </c>
      <c r="AK459">
        <v>4</v>
      </c>
      <c r="AL459" t="s">
        <v>1159</v>
      </c>
      <c r="AM459" t="s">
        <v>1160</v>
      </c>
      <c r="AN459" t="s">
        <v>1161</v>
      </c>
      <c r="AO459" t="s">
        <v>5508</v>
      </c>
      <c r="AP459" t="s">
        <v>74</v>
      </c>
      <c r="AQ459" t="s">
        <v>74</v>
      </c>
      <c r="AR459" t="s">
        <v>5509</v>
      </c>
      <c r="AS459" t="s">
        <v>5510</v>
      </c>
      <c r="AT459" t="s">
        <v>74</v>
      </c>
      <c r="AU459">
        <v>1998</v>
      </c>
      <c r="AV459">
        <v>169</v>
      </c>
      <c r="AW459" t="s">
        <v>74</v>
      </c>
      <c r="AX459" t="s">
        <v>74</v>
      </c>
      <c r="AY459" t="s">
        <v>74</v>
      </c>
      <c r="AZ459" t="s">
        <v>74</v>
      </c>
      <c r="BA459" t="s">
        <v>74</v>
      </c>
      <c r="BB459">
        <v>229</v>
      </c>
      <c r="BC459">
        <v>235</v>
      </c>
      <c r="BD459" t="s">
        <v>74</v>
      </c>
      <c r="BE459" t="s">
        <v>5631</v>
      </c>
      <c r="BF459" t="str">
        <f>HYPERLINK("http://dx.doi.org/10.3354/meps169229","http://dx.doi.org/10.3354/meps169229")</f>
        <v>http://dx.doi.org/10.3354/meps169229</v>
      </c>
      <c r="BG459" t="s">
        <v>74</v>
      </c>
      <c r="BH459" t="s">
        <v>74</v>
      </c>
      <c r="BI459">
        <v>7</v>
      </c>
      <c r="BJ459" t="s">
        <v>5512</v>
      </c>
      <c r="BK459" t="s">
        <v>98</v>
      </c>
      <c r="BL459" t="s">
        <v>5513</v>
      </c>
      <c r="BM459" t="s">
        <v>5610</v>
      </c>
      <c r="BN459" t="s">
        <v>74</v>
      </c>
      <c r="BO459" t="s">
        <v>100</v>
      </c>
      <c r="BP459" t="s">
        <v>74</v>
      </c>
      <c r="BQ459" t="s">
        <v>74</v>
      </c>
      <c r="BR459" t="s">
        <v>101</v>
      </c>
      <c r="BS459" t="s">
        <v>5632</v>
      </c>
      <c r="BT459" t="str">
        <f>HYPERLINK("https%3A%2F%2Fwww.webofscience.com%2Fwos%2Fwoscc%2Ffull-record%2FWOS:000075589000019","View Full Record in Web of Science")</f>
        <v>View Full Record in Web of Science</v>
      </c>
    </row>
    <row r="460" spans="1:72" x14ac:dyDescent="0.15">
      <c r="A460" t="s">
        <v>72</v>
      </c>
      <c r="B460" t="s">
        <v>5633</v>
      </c>
      <c r="C460" t="s">
        <v>74</v>
      </c>
      <c r="D460" t="s">
        <v>74</v>
      </c>
      <c r="E460" t="s">
        <v>74</v>
      </c>
      <c r="F460" t="s">
        <v>5633</v>
      </c>
      <c r="G460" t="s">
        <v>74</v>
      </c>
      <c r="H460" t="s">
        <v>74</v>
      </c>
      <c r="I460" t="s">
        <v>5634</v>
      </c>
      <c r="J460" t="s">
        <v>5500</v>
      </c>
      <c r="K460" t="s">
        <v>74</v>
      </c>
      <c r="L460" t="s">
        <v>74</v>
      </c>
      <c r="M460" t="s">
        <v>77</v>
      </c>
      <c r="N460" t="s">
        <v>78</v>
      </c>
      <c r="O460" t="s">
        <v>74</v>
      </c>
      <c r="P460" t="s">
        <v>74</v>
      </c>
      <c r="Q460" t="s">
        <v>74</v>
      </c>
      <c r="R460" t="s">
        <v>74</v>
      </c>
      <c r="S460" t="s">
        <v>74</v>
      </c>
      <c r="T460" t="s">
        <v>5635</v>
      </c>
      <c r="U460" t="s">
        <v>5636</v>
      </c>
      <c r="V460" t="s">
        <v>5637</v>
      </c>
      <c r="W460" t="s">
        <v>321</v>
      </c>
      <c r="X460" t="s">
        <v>322</v>
      </c>
      <c r="Y460" t="s">
        <v>5638</v>
      </c>
      <c r="Z460" t="s">
        <v>5639</v>
      </c>
      <c r="AA460" t="s">
        <v>5640</v>
      </c>
      <c r="AB460" t="s">
        <v>74</v>
      </c>
      <c r="AC460" t="s">
        <v>74</v>
      </c>
      <c r="AD460" t="s">
        <v>74</v>
      </c>
      <c r="AE460" t="s">
        <v>74</v>
      </c>
      <c r="AF460" t="s">
        <v>74</v>
      </c>
      <c r="AG460">
        <v>56</v>
      </c>
      <c r="AH460">
        <v>37</v>
      </c>
      <c r="AI460">
        <v>40</v>
      </c>
      <c r="AJ460">
        <v>0</v>
      </c>
      <c r="AK460">
        <v>19</v>
      </c>
      <c r="AL460" t="s">
        <v>1159</v>
      </c>
      <c r="AM460" t="s">
        <v>1160</v>
      </c>
      <c r="AN460" t="s">
        <v>1161</v>
      </c>
      <c r="AO460" t="s">
        <v>5508</v>
      </c>
      <c r="AP460" t="s">
        <v>74</v>
      </c>
      <c r="AQ460" t="s">
        <v>74</v>
      </c>
      <c r="AR460" t="s">
        <v>5509</v>
      </c>
      <c r="AS460" t="s">
        <v>5510</v>
      </c>
      <c r="AT460" t="s">
        <v>74</v>
      </c>
      <c r="AU460">
        <v>1998</v>
      </c>
      <c r="AV460">
        <v>169</v>
      </c>
      <c r="AW460" t="s">
        <v>74</v>
      </c>
      <c r="AX460" t="s">
        <v>74</v>
      </c>
      <c r="AY460" t="s">
        <v>74</v>
      </c>
      <c r="AZ460" t="s">
        <v>74</v>
      </c>
      <c r="BA460" t="s">
        <v>74</v>
      </c>
      <c r="BB460">
        <v>263</v>
      </c>
      <c r="BC460">
        <v>275</v>
      </c>
      <c r="BD460" t="s">
        <v>74</v>
      </c>
      <c r="BE460" t="s">
        <v>5641</v>
      </c>
      <c r="BF460" t="str">
        <f>HYPERLINK("http://dx.doi.org/10.3354/meps169263","http://dx.doi.org/10.3354/meps169263")</f>
        <v>http://dx.doi.org/10.3354/meps169263</v>
      </c>
      <c r="BG460" t="s">
        <v>74</v>
      </c>
      <c r="BH460" t="s">
        <v>74</v>
      </c>
      <c r="BI460">
        <v>13</v>
      </c>
      <c r="BJ460" t="s">
        <v>5512</v>
      </c>
      <c r="BK460" t="s">
        <v>98</v>
      </c>
      <c r="BL460" t="s">
        <v>5513</v>
      </c>
      <c r="BM460" t="s">
        <v>5610</v>
      </c>
      <c r="BN460" t="s">
        <v>74</v>
      </c>
      <c r="BO460" t="s">
        <v>100</v>
      </c>
      <c r="BP460" t="s">
        <v>74</v>
      </c>
      <c r="BQ460" t="s">
        <v>74</v>
      </c>
      <c r="BR460" t="s">
        <v>101</v>
      </c>
      <c r="BS460" t="s">
        <v>5642</v>
      </c>
      <c r="BT460" t="str">
        <f>HYPERLINK("https%3A%2F%2Fwww.webofscience.com%2Fwos%2Fwoscc%2Ffull-record%2FWOS:000075589000023","View Full Record in Web of Science")</f>
        <v>View Full Record in Web of Science</v>
      </c>
    </row>
    <row r="461" spans="1:72" x14ac:dyDescent="0.15">
      <c r="A461" t="s">
        <v>72</v>
      </c>
      <c r="B461" t="s">
        <v>5643</v>
      </c>
      <c r="C461" t="s">
        <v>74</v>
      </c>
      <c r="D461" t="s">
        <v>74</v>
      </c>
      <c r="E461" t="s">
        <v>74</v>
      </c>
      <c r="F461" t="s">
        <v>5643</v>
      </c>
      <c r="G461" t="s">
        <v>74</v>
      </c>
      <c r="H461" t="s">
        <v>74</v>
      </c>
      <c r="I461" t="s">
        <v>5644</v>
      </c>
      <c r="J461" t="s">
        <v>5500</v>
      </c>
      <c r="K461" t="s">
        <v>74</v>
      </c>
      <c r="L461" t="s">
        <v>74</v>
      </c>
      <c r="M461" t="s">
        <v>77</v>
      </c>
      <c r="N461" t="s">
        <v>78</v>
      </c>
      <c r="O461" t="s">
        <v>74</v>
      </c>
      <c r="P461" t="s">
        <v>74</v>
      </c>
      <c r="Q461" t="s">
        <v>74</v>
      </c>
      <c r="R461" t="s">
        <v>74</v>
      </c>
      <c r="S461" t="s">
        <v>74</v>
      </c>
      <c r="T461" t="s">
        <v>5645</v>
      </c>
      <c r="U461" t="s">
        <v>74</v>
      </c>
      <c r="V461" t="s">
        <v>5646</v>
      </c>
      <c r="W461" t="s">
        <v>5647</v>
      </c>
      <c r="X461" t="s">
        <v>74</v>
      </c>
      <c r="Y461" t="s">
        <v>5648</v>
      </c>
      <c r="Z461" t="s">
        <v>5649</v>
      </c>
      <c r="AA461" t="s">
        <v>74</v>
      </c>
      <c r="AB461" t="s">
        <v>74</v>
      </c>
      <c r="AC461" t="s">
        <v>74</v>
      </c>
      <c r="AD461" t="s">
        <v>74</v>
      </c>
      <c r="AE461" t="s">
        <v>74</v>
      </c>
      <c r="AF461" t="s">
        <v>74</v>
      </c>
      <c r="AG461">
        <v>28</v>
      </c>
      <c r="AH461">
        <v>13</v>
      </c>
      <c r="AI461">
        <v>14</v>
      </c>
      <c r="AJ461">
        <v>0</v>
      </c>
      <c r="AK461">
        <v>6</v>
      </c>
      <c r="AL461" t="s">
        <v>1159</v>
      </c>
      <c r="AM461" t="s">
        <v>1160</v>
      </c>
      <c r="AN461" t="s">
        <v>1161</v>
      </c>
      <c r="AO461" t="s">
        <v>5508</v>
      </c>
      <c r="AP461" t="s">
        <v>5522</v>
      </c>
      <c r="AQ461" t="s">
        <v>74</v>
      </c>
      <c r="AR461" t="s">
        <v>5509</v>
      </c>
      <c r="AS461" t="s">
        <v>5510</v>
      </c>
      <c r="AT461" t="s">
        <v>74</v>
      </c>
      <c r="AU461">
        <v>1998</v>
      </c>
      <c r="AV461">
        <v>168</v>
      </c>
      <c r="AW461" t="s">
        <v>74</v>
      </c>
      <c r="AX461" t="s">
        <v>74</v>
      </c>
      <c r="AY461" t="s">
        <v>74</v>
      </c>
      <c r="AZ461" t="s">
        <v>74</v>
      </c>
      <c r="BA461" t="s">
        <v>74</v>
      </c>
      <c r="BB461">
        <v>1</v>
      </c>
      <c r="BC461">
        <v>11</v>
      </c>
      <c r="BD461" t="s">
        <v>74</v>
      </c>
      <c r="BE461" t="s">
        <v>5650</v>
      </c>
      <c r="BF461" t="str">
        <f>HYPERLINK("http://dx.doi.org/10.3354/meps168001","http://dx.doi.org/10.3354/meps168001")</f>
        <v>http://dx.doi.org/10.3354/meps168001</v>
      </c>
      <c r="BG461" t="s">
        <v>74</v>
      </c>
      <c r="BH461" t="s">
        <v>74</v>
      </c>
      <c r="BI461">
        <v>11</v>
      </c>
      <c r="BJ461" t="s">
        <v>5512</v>
      </c>
      <c r="BK461" t="s">
        <v>98</v>
      </c>
      <c r="BL461" t="s">
        <v>5513</v>
      </c>
      <c r="BM461" t="s">
        <v>5651</v>
      </c>
      <c r="BN461" t="s">
        <v>74</v>
      </c>
      <c r="BO461" t="s">
        <v>100</v>
      </c>
      <c r="BP461" t="s">
        <v>74</v>
      </c>
      <c r="BQ461" t="s">
        <v>74</v>
      </c>
      <c r="BR461" t="s">
        <v>101</v>
      </c>
      <c r="BS461" t="s">
        <v>5652</v>
      </c>
      <c r="BT461" t="str">
        <f>HYPERLINK("https%3A%2F%2Fwww.webofscience.com%2Fwos%2Fwoscc%2Ffull-record%2FWOS:000075229700001","View Full Record in Web of Science")</f>
        <v>View Full Record in Web of Science</v>
      </c>
    </row>
    <row r="462" spans="1:72" x14ac:dyDescent="0.15">
      <c r="A462" t="s">
        <v>72</v>
      </c>
      <c r="B462" t="s">
        <v>5653</v>
      </c>
      <c r="C462" t="s">
        <v>74</v>
      </c>
      <c r="D462" t="s">
        <v>74</v>
      </c>
      <c r="E462" t="s">
        <v>74</v>
      </c>
      <c r="F462" t="s">
        <v>5653</v>
      </c>
      <c r="G462" t="s">
        <v>74</v>
      </c>
      <c r="H462" t="s">
        <v>74</v>
      </c>
      <c r="I462" t="s">
        <v>5654</v>
      </c>
      <c r="J462" t="s">
        <v>5500</v>
      </c>
      <c r="K462" t="s">
        <v>74</v>
      </c>
      <c r="L462" t="s">
        <v>74</v>
      </c>
      <c r="M462" t="s">
        <v>77</v>
      </c>
      <c r="N462" t="s">
        <v>78</v>
      </c>
      <c r="O462" t="s">
        <v>74</v>
      </c>
      <c r="P462" t="s">
        <v>74</v>
      </c>
      <c r="Q462" t="s">
        <v>74</v>
      </c>
      <c r="R462" t="s">
        <v>74</v>
      </c>
      <c r="S462" t="s">
        <v>74</v>
      </c>
      <c r="T462" t="s">
        <v>5655</v>
      </c>
      <c r="U462" t="s">
        <v>5656</v>
      </c>
      <c r="V462" t="s">
        <v>5657</v>
      </c>
      <c r="W462" t="s">
        <v>5658</v>
      </c>
      <c r="X462" t="s">
        <v>5659</v>
      </c>
      <c r="Y462" t="s">
        <v>5660</v>
      </c>
      <c r="Z462" t="s">
        <v>5661</v>
      </c>
      <c r="AA462" t="s">
        <v>74</v>
      </c>
      <c r="AB462" t="s">
        <v>5662</v>
      </c>
      <c r="AC462" t="s">
        <v>74</v>
      </c>
      <c r="AD462" t="s">
        <v>74</v>
      </c>
      <c r="AE462" t="s">
        <v>74</v>
      </c>
      <c r="AF462" t="s">
        <v>74</v>
      </c>
      <c r="AG462">
        <v>40</v>
      </c>
      <c r="AH462">
        <v>21</v>
      </c>
      <c r="AI462">
        <v>22</v>
      </c>
      <c r="AJ462">
        <v>0</v>
      </c>
      <c r="AK462">
        <v>9</v>
      </c>
      <c r="AL462" t="s">
        <v>1159</v>
      </c>
      <c r="AM462" t="s">
        <v>1160</v>
      </c>
      <c r="AN462" t="s">
        <v>1161</v>
      </c>
      <c r="AO462" t="s">
        <v>5508</v>
      </c>
      <c r="AP462" t="s">
        <v>74</v>
      </c>
      <c r="AQ462" t="s">
        <v>74</v>
      </c>
      <c r="AR462" t="s">
        <v>5509</v>
      </c>
      <c r="AS462" t="s">
        <v>5510</v>
      </c>
      <c r="AT462" t="s">
        <v>74</v>
      </c>
      <c r="AU462">
        <v>1998</v>
      </c>
      <c r="AV462">
        <v>168</v>
      </c>
      <c r="AW462" t="s">
        <v>74</v>
      </c>
      <c r="AX462" t="s">
        <v>74</v>
      </c>
      <c r="AY462" t="s">
        <v>74</v>
      </c>
      <c r="AZ462" t="s">
        <v>74</v>
      </c>
      <c r="BA462" t="s">
        <v>74</v>
      </c>
      <c r="BB462">
        <v>13</v>
      </c>
      <c r="BC462">
        <v>19</v>
      </c>
      <c r="BD462" t="s">
        <v>74</v>
      </c>
      <c r="BE462" t="s">
        <v>5663</v>
      </c>
      <c r="BF462" t="str">
        <f>HYPERLINK("http://dx.doi.org/10.3354/meps168013","http://dx.doi.org/10.3354/meps168013")</f>
        <v>http://dx.doi.org/10.3354/meps168013</v>
      </c>
      <c r="BG462" t="s">
        <v>74</v>
      </c>
      <c r="BH462" t="s">
        <v>74</v>
      </c>
      <c r="BI462">
        <v>7</v>
      </c>
      <c r="BJ462" t="s">
        <v>5512</v>
      </c>
      <c r="BK462" t="s">
        <v>98</v>
      </c>
      <c r="BL462" t="s">
        <v>5513</v>
      </c>
      <c r="BM462" t="s">
        <v>5651</v>
      </c>
      <c r="BN462" t="s">
        <v>74</v>
      </c>
      <c r="BO462" t="s">
        <v>100</v>
      </c>
      <c r="BP462" t="s">
        <v>74</v>
      </c>
      <c r="BQ462" t="s">
        <v>74</v>
      </c>
      <c r="BR462" t="s">
        <v>101</v>
      </c>
      <c r="BS462" t="s">
        <v>5664</v>
      </c>
      <c r="BT462" t="str">
        <f>HYPERLINK("https%3A%2F%2Fwww.webofscience.com%2Fwos%2Fwoscc%2Ffull-record%2FWOS:000075229700002","View Full Record in Web of Science")</f>
        <v>View Full Record in Web of Science</v>
      </c>
    </row>
    <row r="463" spans="1:72" x14ac:dyDescent="0.15">
      <c r="A463" t="s">
        <v>72</v>
      </c>
      <c r="B463" t="s">
        <v>5665</v>
      </c>
      <c r="C463" t="s">
        <v>74</v>
      </c>
      <c r="D463" t="s">
        <v>74</v>
      </c>
      <c r="E463" t="s">
        <v>74</v>
      </c>
      <c r="F463" t="s">
        <v>5665</v>
      </c>
      <c r="G463" t="s">
        <v>74</v>
      </c>
      <c r="H463" t="s">
        <v>74</v>
      </c>
      <c r="I463" t="s">
        <v>5666</v>
      </c>
      <c r="J463" t="s">
        <v>5500</v>
      </c>
      <c r="K463" t="s">
        <v>74</v>
      </c>
      <c r="L463" t="s">
        <v>74</v>
      </c>
      <c r="M463" t="s">
        <v>77</v>
      </c>
      <c r="N463" t="s">
        <v>78</v>
      </c>
      <c r="O463" t="s">
        <v>74</v>
      </c>
      <c r="P463" t="s">
        <v>74</v>
      </c>
      <c r="Q463" t="s">
        <v>74</v>
      </c>
      <c r="R463" t="s">
        <v>74</v>
      </c>
      <c r="S463" t="s">
        <v>74</v>
      </c>
      <c r="T463" t="s">
        <v>5667</v>
      </c>
      <c r="U463" t="s">
        <v>5668</v>
      </c>
      <c r="V463" t="s">
        <v>5669</v>
      </c>
      <c r="W463" t="s">
        <v>5670</v>
      </c>
      <c r="X463" t="s">
        <v>5671</v>
      </c>
      <c r="Y463" t="s">
        <v>5672</v>
      </c>
      <c r="Z463" t="s">
        <v>5673</v>
      </c>
      <c r="AA463" t="s">
        <v>74</v>
      </c>
      <c r="AB463" t="s">
        <v>74</v>
      </c>
      <c r="AC463" t="s">
        <v>74</v>
      </c>
      <c r="AD463" t="s">
        <v>74</v>
      </c>
      <c r="AE463" t="s">
        <v>74</v>
      </c>
      <c r="AF463" t="s">
        <v>74</v>
      </c>
      <c r="AG463">
        <v>82</v>
      </c>
      <c r="AH463">
        <v>64</v>
      </c>
      <c r="AI463">
        <v>65</v>
      </c>
      <c r="AJ463">
        <v>1</v>
      </c>
      <c r="AK463">
        <v>10</v>
      </c>
      <c r="AL463" t="s">
        <v>1159</v>
      </c>
      <c r="AM463" t="s">
        <v>1160</v>
      </c>
      <c r="AN463" t="s">
        <v>1161</v>
      </c>
      <c r="AO463" t="s">
        <v>5508</v>
      </c>
      <c r="AP463" t="s">
        <v>5522</v>
      </c>
      <c r="AQ463" t="s">
        <v>74</v>
      </c>
      <c r="AR463" t="s">
        <v>5509</v>
      </c>
      <c r="AS463" t="s">
        <v>5510</v>
      </c>
      <c r="AT463" t="s">
        <v>74</v>
      </c>
      <c r="AU463">
        <v>1998</v>
      </c>
      <c r="AV463">
        <v>168</v>
      </c>
      <c r="AW463" t="s">
        <v>74</v>
      </c>
      <c r="AX463" t="s">
        <v>74</v>
      </c>
      <c r="AY463" t="s">
        <v>74</v>
      </c>
      <c r="AZ463" t="s">
        <v>74</v>
      </c>
      <c r="BA463" t="s">
        <v>74</v>
      </c>
      <c r="BB463">
        <v>21</v>
      </c>
      <c r="BC463">
        <v>33</v>
      </c>
      <c r="BD463" t="s">
        <v>74</v>
      </c>
      <c r="BE463" t="s">
        <v>5674</v>
      </c>
      <c r="BF463" t="str">
        <f>HYPERLINK("http://dx.doi.org/10.3354/meps168021","http://dx.doi.org/10.3354/meps168021")</f>
        <v>http://dx.doi.org/10.3354/meps168021</v>
      </c>
      <c r="BG463" t="s">
        <v>74</v>
      </c>
      <c r="BH463" t="s">
        <v>74</v>
      </c>
      <c r="BI463">
        <v>13</v>
      </c>
      <c r="BJ463" t="s">
        <v>5512</v>
      </c>
      <c r="BK463" t="s">
        <v>98</v>
      </c>
      <c r="BL463" t="s">
        <v>5513</v>
      </c>
      <c r="BM463" t="s">
        <v>5651</v>
      </c>
      <c r="BN463" t="s">
        <v>74</v>
      </c>
      <c r="BO463" t="s">
        <v>100</v>
      </c>
      <c r="BP463" t="s">
        <v>74</v>
      </c>
      <c r="BQ463" t="s">
        <v>74</v>
      </c>
      <c r="BR463" t="s">
        <v>101</v>
      </c>
      <c r="BS463" t="s">
        <v>5675</v>
      </c>
      <c r="BT463" t="str">
        <f>HYPERLINK("https%3A%2F%2Fwww.webofscience.com%2Fwos%2Fwoscc%2Ffull-record%2FWOS:000075229700003","View Full Record in Web of Science")</f>
        <v>View Full Record in Web of Science</v>
      </c>
    </row>
    <row r="464" spans="1:72" x14ac:dyDescent="0.15">
      <c r="A464" t="s">
        <v>72</v>
      </c>
      <c r="B464" t="s">
        <v>5676</v>
      </c>
      <c r="C464" t="s">
        <v>74</v>
      </c>
      <c r="D464" t="s">
        <v>74</v>
      </c>
      <c r="E464" t="s">
        <v>74</v>
      </c>
      <c r="F464" t="s">
        <v>5676</v>
      </c>
      <c r="G464" t="s">
        <v>74</v>
      </c>
      <c r="H464" t="s">
        <v>74</v>
      </c>
      <c r="I464" t="s">
        <v>5677</v>
      </c>
      <c r="J464" t="s">
        <v>5500</v>
      </c>
      <c r="K464" t="s">
        <v>74</v>
      </c>
      <c r="L464" t="s">
        <v>74</v>
      </c>
      <c r="M464" t="s">
        <v>77</v>
      </c>
      <c r="N464" t="s">
        <v>78</v>
      </c>
      <c r="O464" t="s">
        <v>74</v>
      </c>
      <c r="P464" t="s">
        <v>74</v>
      </c>
      <c r="Q464" t="s">
        <v>74</v>
      </c>
      <c r="R464" t="s">
        <v>74</v>
      </c>
      <c r="S464" t="s">
        <v>74</v>
      </c>
      <c r="T464" t="s">
        <v>5678</v>
      </c>
      <c r="U464" t="s">
        <v>5679</v>
      </c>
      <c r="V464" t="s">
        <v>5680</v>
      </c>
      <c r="W464" t="s">
        <v>5681</v>
      </c>
      <c r="X464" t="s">
        <v>5682</v>
      </c>
      <c r="Y464" t="s">
        <v>5683</v>
      </c>
      <c r="Z464" t="s">
        <v>5684</v>
      </c>
      <c r="AA464" t="s">
        <v>5685</v>
      </c>
      <c r="AB464" t="s">
        <v>5686</v>
      </c>
      <c r="AC464" t="s">
        <v>74</v>
      </c>
      <c r="AD464" t="s">
        <v>74</v>
      </c>
      <c r="AE464" t="s">
        <v>74</v>
      </c>
      <c r="AF464" t="s">
        <v>74</v>
      </c>
      <c r="AG464">
        <v>84</v>
      </c>
      <c r="AH464">
        <v>135</v>
      </c>
      <c r="AI464">
        <v>153</v>
      </c>
      <c r="AJ464">
        <v>0</v>
      </c>
      <c r="AK464">
        <v>24</v>
      </c>
      <c r="AL464" t="s">
        <v>1159</v>
      </c>
      <c r="AM464" t="s">
        <v>1160</v>
      </c>
      <c r="AN464" t="s">
        <v>1161</v>
      </c>
      <c r="AO464" t="s">
        <v>5508</v>
      </c>
      <c r="AP464" t="s">
        <v>5522</v>
      </c>
      <c r="AQ464" t="s">
        <v>74</v>
      </c>
      <c r="AR464" t="s">
        <v>5509</v>
      </c>
      <c r="AS464" t="s">
        <v>5510</v>
      </c>
      <c r="AT464" t="s">
        <v>74</v>
      </c>
      <c r="AU464">
        <v>1998</v>
      </c>
      <c r="AV464">
        <v>167</v>
      </c>
      <c r="AW464" t="s">
        <v>74</v>
      </c>
      <c r="AX464" t="s">
        <v>74</v>
      </c>
      <c r="AY464" t="s">
        <v>74</v>
      </c>
      <c r="AZ464" t="s">
        <v>74</v>
      </c>
      <c r="BA464" t="s">
        <v>74</v>
      </c>
      <c r="BB464">
        <v>241</v>
      </c>
      <c r="BC464">
        <v>259</v>
      </c>
      <c r="BD464" t="s">
        <v>74</v>
      </c>
      <c r="BE464" t="s">
        <v>5687</v>
      </c>
      <c r="BF464" t="str">
        <f>HYPERLINK("http://dx.doi.org/10.3354/meps167241","http://dx.doi.org/10.3354/meps167241")</f>
        <v>http://dx.doi.org/10.3354/meps167241</v>
      </c>
      <c r="BG464" t="s">
        <v>74</v>
      </c>
      <c r="BH464" t="s">
        <v>74</v>
      </c>
      <c r="BI464">
        <v>19</v>
      </c>
      <c r="BJ464" t="s">
        <v>5512</v>
      </c>
      <c r="BK464" t="s">
        <v>98</v>
      </c>
      <c r="BL464" t="s">
        <v>5513</v>
      </c>
      <c r="BM464" t="s">
        <v>5688</v>
      </c>
      <c r="BN464" t="s">
        <v>74</v>
      </c>
      <c r="BO464" t="s">
        <v>647</v>
      </c>
      <c r="BP464" t="s">
        <v>74</v>
      </c>
      <c r="BQ464" t="s">
        <v>74</v>
      </c>
      <c r="BR464" t="s">
        <v>101</v>
      </c>
      <c r="BS464" t="s">
        <v>5689</v>
      </c>
      <c r="BT464" t="str">
        <f>HYPERLINK("https%3A%2F%2Fwww.webofscience.com%2Fwos%2Fwoscc%2Ffull-record%2FWOS:000074685500022","View Full Record in Web of Science")</f>
        <v>View Full Record in Web of Science</v>
      </c>
    </row>
    <row r="465" spans="1:72" x14ac:dyDescent="0.15">
      <c r="A465" t="s">
        <v>72</v>
      </c>
      <c r="B465" t="s">
        <v>5690</v>
      </c>
      <c r="C465" t="s">
        <v>74</v>
      </c>
      <c r="D465" t="s">
        <v>74</v>
      </c>
      <c r="E465" t="s">
        <v>74</v>
      </c>
      <c r="F465" t="s">
        <v>5690</v>
      </c>
      <c r="G465" t="s">
        <v>74</v>
      </c>
      <c r="H465" t="s">
        <v>74</v>
      </c>
      <c r="I465" t="s">
        <v>5691</v>
      </c>
      <c r="J465" t="s">
        <v>5500</v>
      </c>
      <c r="K465" t="s">
        <v>74</v>
      </c>
      <c r="L465" t="s">
        <v>74</v>
      </c>
      <c r="M465" t="s">
        <v>77</v>
      </c>
      <c r="N465" t="s">
        <v>78</v>
      </c>
      <c r="O465" t="s">
        <v>74</v>
      </c>
      <c r="P465" t="s">
        <v>74</v>
      </c>
      <c r="Q465" t="s">
        <v>74</v>
      </c>
      <c r="R465" t="s">
        <v>74</v>
      </c>
      <c r="S465" t="s">
        <v>74</v>
      </c>
      <c r="T465" t="s">
        <v>5692</v>
      </c>
      <c r="U465" t="s">
        <v>5693</v>
      </c>
      <c r="V465" t="s">
        <v>5694</v>
      </c>
      <c r="W465" t="s">
        <v>5695</v>
      </c>
      <c r="X465" t="s">
        <v>3108</v>
      </c>
      <c r="Y465" t="s">
        <v>5696</v>
      </c>
      <c r="Z465" t="s">
        <v>5697</v>
      </c>
      <c r="AA465" t="s">
        <v>5698</v>
      </c>
      <c r="AB465" t="s">
        <v>5699</v>
      </c>
      <c r="AC465" t="s">
        <v>74</v>
      </c>
      <c r="AD465" t="s">
        <v>74</v>
      </c>
      <c r="AE465" t="s">
        <v>74</v>
      </c>
      <c r="AF465" t="s">
        <v>74</v>
      </c>
      <c r="AG465">
        <v>73</v>
      </c>
      <c r="AH465">
        <v>140</v>
      </c>
      <c r="AI465">
        <v>158</v>
      </c>
      <c r="AJ465">
        <v>0</v>
      </c>
      <c r="AK465">
        <v>40</v>
      </c>
      <c r="AL465" t="s">
        <v>1159</v>
      </c>
      <c r="AM465" t="s">
        <v>1160</v>
      </c>
      <c r="AN465" t="s">
        <v>1161</v>
      </c>
      <c r="AO465" t="s">
        <v>5508</v>
      </c>
      <c r="AP465" t="s">
        <v>5522</v>
      </c>
      <c r="AQ465" t="s">
        <v>74</v>
      </c>
      <c r="AR465" t="s">
        <v>5509</v>
      </c>
      <c r="AS465" t="s">
        <v>5510</v>
      </c>
      <c r="AT465" t="s">
        <v>74</v>
      </c>
      <c r="AU465">
        <v>1998</v>
      </c>
      <c r="AV465">
        <v>167</v>
      </c>
      <c r="AW465" t="s">
        <v>74</v>
      </c>
      <c r="AX465" t="s">
        <v>74</v>
      </c>
      <c r="AY465" t="s">
        <v>74</v>
      </c>
      <c r="AZ465" t="s">
        <v>74</v>
      </c>
      <c r="BA465" t="s">
        <v>74</v>
      </c>
      <c r="BB465">
        <v>261</v>
      </c>
      <c r="BC465">
        <v>274</v>
      </c>
      <c r="BD465" t="s">
        <v>74</v>
      </c>
      <c r="BE465" t="s">
        <v>5700</v>
      </c>
      <c r="BF465" t="str">
        <f>HYPERLINK("http://dx.doi.org/10.3354/meps167261","http://dx.doi.org/10.3354/meps167261")</f>
        <v>http://dx.doi.org/10.3354/meps167261</v>
      </c>
      <c r="BG465" t="s">
        <v>74</v>
      </c>
      <c r="BH465" t="s">
        <v>74</v>
      </c>
      <c r="BI465">
        <v>14</v>
      </c>
      <c r="BJ465" t="s">
        <v>5512</v>
      </c>
      <c r="BK465" t="s">
        <v>98</v>
      </c>
      <c r="BL465" t="s">
        <v>5513</v>
      </c>
      <c r="BM465" t="s">
        <v>5688</v>
      </c>
      <c r="BN465" t="s">
        <v>74</v>
      </c>
      <c r="BO465" t="s">
        <v>100</v>
      </c>
      <c r="BP465" t="s">
        <v>74</v>
      </c>
      <c r="BQ465" t="s">
        <v>74</v>
      </c>
      <c r="BR465" t="s">
        <v>101</v>
      </c>
      <c r="BS465" t="s">
        <v>5701</v>
      </c>
      <c r="BT465" t="str">
        <f>HYPERLINK("https%3A%2F%2Fwww.webofscience.com%2Fwos%2Fwoscc%2Ffull-record%2FWOS:000074685500023","View Full Record in Web of Science")</f>
        <v>View Full Record in Web of Science</v>
      </c>
    </row>
    <row r="466" spans="1:72" x14ac:dyDescent="0.15">
      <c r="A466" t="s">
        <v>72</v>
      </c>
      <c r="B466" t="s">
        <v>5702</v>
      </c>
      <c r="C466" t="s">
        <v>74</v>
      </c>
      <c r="D466" t="s">
        <v>74</v>
      </c>
      <c r="E466" t="s">
        <v>74</v>
      </c>
      <c r="F466" t="s">
        <v>5702</v>
      </c>
      <c r="G466" t="s">
        <v>74</v>
      </c>
      <c r="H466" t="s">
        <v>74</v>
      </c>
      <c r="I466" t="s">
        <v>5703</v>
      </c>
      <c r="J466" t="s">
        <v>5500</v>
      </c>
      <c r="K466" t="s">
        <v>74</v>
      </c>
      <c r="L466" t="s">
        <v>74</v>
      </c>
      <c r="M466" t="s">
        <v>77</v>
      </c>
      <c r="N466" t="s">
        <v>78</v>
      </c>
      <c r="O466" t="s">
        <v>74</v>
      </c>
      <c r="P466" t="s">
        <v>74</v>
      </c>
      <c r="Q466" t="s">
        <v>74</v>
      </c>
      <c r="R466" t="s">
        <v>74</v>
      </c>
      <c r="S466" t="s">
        <v>74</v>
      </c>
      <c r="T466" t="s">
        <v>5704</v>
      </c>
      <c r="U466" t="s">
        <v>5705</v>
      </c>
      <c r="V466" t="s">
        <v>5706</v>
      </c>
      <c r="W466" t="s">
        <v>5707</v>
      </c>
      <c r="X466" t="s">
        <v>5708</v>
      </c>
      <c r="Y466" t="s">
        <v>5709</v>
      </c>
      <c r="Z466" t="s">
        <v>5710</v>
      </c>
      <c r="AA466" t="s">
        <v>74</v>
      </c>
      <c r="AB466" t="s">
        <v>5711</v>
      </c>
      <c r="AC466" t="s">
        <v>74</v>
      </c>
      <c r="AD466" t="s">
        <v>74</v>
      </c>
      <c r="AE466" t="s">
        <v>74</v>
      </c>
      <c r="AF466" t="s">
        <v>74</v>
      </c>
      <c r="AG466">
        <v>47</v>
      </c>
      <c r="AH466">
        <v>11</v>
      </c>
      <c r="AI466">
        <v>12</v>
      </c>
      <c r="AJ466">
        <v>0</v>
      </c>
      <c r="AK466">
        <v>4</v>
      </c>
      <c r="AL466" t="s">
        <v>1159</v>
      </c>
      <c r="AM466" t="s">
        <v>1160</v>
      </c>
      <c r="AN466" t="s">
        <v>1161</v>
      </c>
      <c r="AO466" t="s">
        <v>5508</v>
      </c>
      <c r="AP466" t="s">
        <v>5522</v>
      </c>
      <c r="AQ466" t="s">
        <v>74</v>
      </c>
      <c r="AR466" t="s">
        <v>5509</v>
      </c>
      <c r="AS466" t="s">
        <v>5510</v>
      </c>
      <c r="AT466" t="s">
        <v>74</v>
      </c>
      <c r="AU466">
        <v>1998</v>
      </c>
      <c r="AV466">
        <v>166</v>
      </c>
      <c r="AW466" t="s">
        <v>74</v>
      </c>
      <c r="AX466" t="s">
        <v>74</v>
      </c>
      <c r="AY466" t="s">
        <v>74</v>
      </c>
      <c r="AZ466" t="s">
        <v>74</v>
      </c>
      <c r="BA466" t="s">
        <v>74</v>
      </c>
      <c r="BB466">
        <v>43</v>
      </c>
      <c r="BC466">
        <v>52</v>
      </c>
      <c r="BD466" t="s">
        <v>74</v>
      </c>
      <c r="BE466" t="s">
        <v>5712</v>
      </c>
      <c r="BF466" t="str">
        <f>HYPERLINK("http://dx.doi.org/10.3354/meps166043","http://dx.doi.org/10.3354/meps166043")</f>
        <v>http://dx.doi.org/10.3354/meps166043</v>
      </c>
      <c r="BG466" t="s">
        <v>74</v>
      </c>
      <c r="BH466" t="s">
        <v>74</v>
      </c>
      <c r="BI466">
        <v>10</v>
      </c>
      <c r="BJ466" t="s">
        <v>5512</v>
      </c>
      <c r="BK466" t="s">
        <v>98</v>
      </c>
      <c r="BL466" t="s">
        <v>5513</v>
      </c>
      <c r="BM466" t="s">
        <v>5713</v>
      </c>
      <c r="BN466" t="s">
        <v>74</v>
      </c>
      <c r="BO466" t="s">
        <v>647</v>
      </c>
      <c r="BP466" t="s">
        <v>74</v>
      </c>
      <c r="BQ466" t="s">
        <v>74</v>
      </c>
      <c r="BR466" t="s">
        <v>101</v>
      </c>
      <c r="BS466" t="s">
        <v>5714</v>
      </c>
      <c r="BT466" t="str">
        <f>HYPERLINK("https%3A%2F%2Fwww.webofscience.com%2Fwos%2Fwoscc%2Ffull-record%2FWOS:000074431800004","View Full Record in Web of Science")</f>
        <v>View Full Record in Web of Science</v>
      </c>
    </row>
    <row r="467" spans="1:72" x14ac:dyDescent="0.15">
      <c r="A467" t="s">
        <v>72</v>
      </c>
      <c r="B467" t="s">
        <v>5715</v>
      </c>
      <c r="C467" t="s">
        <v>74</v>
      </c>
      <c r="D467" t="s">
        <v>74</v>
      </c>
      <c r="E467" t="s">
        <v>74</v>
      </c>
      <c r="F467" t="s">
        <v>5715</v>
      </c>
      <c r="G467" t="s">
        <v>74</v>
      </c>
      <c r="H467" t="s">
        <v>74</v>
      </c>
      <c r="I467" t="s">
        <v>5716</v>
      </c>
      <c r="J467" t="s">
        <v>5500</v>
      </c>
      <c r="K467" t="s">
        <v>74</v>
      </c>
      <c r="L467" t="s">
        <v>74</v>
      </c>
      <c r="M467" t="s">
        <v>77</v>
      </c>
      <c r="N467" t="s">
        <v>78</v>
      </c>
      <c r="O467" t="s">
        <v>74</v>
      </c>
      <c r="P467" t="s">
        <v>74</v>
      </c>
      <c r="Q467" t="s">
        <v>74</v>
      </c>
      <c r="R467" t="s">
        <v>74</v>
      </c>
      <c r="S467" t="s">
        <v>74</v>
      </c>
      <c r="T467" t="s">
        <v>5717</v>
      </c>
      <c r="U467" t="s">
        <v>5718</v>
      </c>
      <c r="V467" t="s">
        <v>5719</v>
      </c>
      <c r="W467" t="s">
        <v>372</v>
      </c>
      <c r="X467" t="s">
        <v>322</v>
      </c>
      <c r="Y467" t="s">
        <v>5720</v>
      </c>
      <c r="Z467" t="s">
        <v>5721</v>
      </c>
      <c r="AA467" t="s">
        <v>324</v>
      </c>
      <c r="AB467" t="s">
        <v>325</v>
      </c>
      <c r="AC467" t="s">
        <v>74</v>
      </c>
      <c r="AD467" t="s">
        <v>74</v>
      </c>
      <c r="AE467" t="s">
        <v>74</v>
      </c>
      <c r="AF467" t="s">
        <v>74</v>
      </c>
      <c r="AG467">
        <v>39</v>
      </c>
      <c r="AH467">
        <v>94</v>
      </c>
      <c r="AI467">
        <v>104</v>
      </c>
      <c r="AJ467">
        <v>0</v>
      </c>
      <c r="AK467">
        <v>11</v>
      </c>
      <c r="AL467" t="s">
        <v>1159</v>
      </c>
      <c r="AM467" t="s">
        <v>1160</v>
      </c>
      <c r="AN467" t="s">
        <v>1161</v>
      </c>
      <c r="AO467" t="s">
        <v>5508</v>
      </c>
      <c r="AP467" t="s">
        <v>74</v>
      </c>
      <c r="AQ467" t="s">
        <v>74</v>
      </c>
      <c r="AR467" t="s">
        <v>5509</v>
      </c>
      <c r="AS467" t="s">
        <v>5510</v>
      </c>
      <c r="AT467" t="s">
        <v>74</v>
      </c>
      <c r="AU467">
        <v>1998</v>
      </c>
      <c r="AV467">
        <v>166</v>
      </c>
      <c r="AW467" t="s">
        <v>74</v>
      </c>
      <c r="AX467" t="s">
        <v>74</v>
      </c>
      <c r="AY467" t="s">
        <v>74</v>
      </c>
      <c r="AZ467" t="s">
        <v>74</v>
      </c>
      <c r="BA467" t="s">
        <v>74</v>
      </c>
      <c r="BB467">
        <v>285</v>
      </c>
      <c r="BC467">
        <v>299</v>
      </c>
      <c r="BD467" t="s">
        <v>74</v>
      </c>
      <c r="BE467" t="s">
        <v>5722</v>
      </c>
      <c r="BF467" t="str">
        <f>HYPERLINK("http://dx.doi.org/10.3354/meps166285","http://dx.doi.org/10.3354/meps166285")</f>
        <v>http://dx.doi.org/10.3354/meps166285</v>
      </c>
      <c r="BG467" t="s">
        <v>74</v>
      </c>
      <c r="BH467" t="s">
        <v>74</v>
      </c>
      <c r="BI467">
        <v>15</v>
      </c>
      <c r="BJ467" t="s">
        <v>5512</v>
      </c>
      <c r="BK467" t="s">
        <v>98</v>
      </c>
      <c r="BL467" t="s">
        <v>5513</v>
      </c>
      <c r="BM467" t="s">
        <v>5713</v>
      </c>
      <c r="BN467" t="s">
        <v>74</v>
      </c>
      <c r="BO467" t="s">
        <v>100</v>
      </c>
      <c r="BP467" t="s">
        <v>74</v>
      </c>
      <c r="BQ467" t="s">
        <v>74</v>
      </c>
      <c r="BR467" t="s">
        <v>101</v>
      </c>
      <c r="BS467" t="s">
        <v>5723</v>
      </c>
      <c r="BT467" t="str">
        <f>HYPERLINK("https%3A%2F%2Fwww.webofscience.com%2Fwos%2Fwoscc%2Ffull-record%2FWOS:000074431800028","View Full Record in Web of Science")</f>
        <v>View Full Record in Web of Science</v>
      </c>
    </row>
    <row r="468" spans="1:72" x14ac:dyDescent="0.15">
      <c r="A468" t="s">
        <v>72</v>
      </c>
      <c r="B468" t="s">
        <v>5724</v>
      </c>
      <c r="C468" t="s">
        <v>74</v>
      </c>
      <c r="D468" t="s">
        <v>74</v>
      </c>
      <c r="E468" t="s">
        <v>74</v>
      </c>
      <c r="F468" t="s">
        <v>5724</v>
      </c>
      <c r="G468" t="s">
        <v>74</v>
      </c>
      <c r="H468" t="s">
        <v>74</v>
      </c>
      <c r="I468" t="s">
        <v>5725</v>
      </c>
      <c r="J468" t="s">
        <v>5500</v>
      </c>
      <c r="K468" t="s">
        <v>74</v>
      </c>
      <c r="L468" t="s">
        <v>74</v>
      </c>
      <c r="M468" t="s">
        <v>77</v>
      </c>
      <c r="N468" t="s">
        <v>78</v>
      </c>
      <c r="O468" t="s">
        <v>74</v>
      </c>
      <c r="P468" t="s">
        <v>74</v>
      </c>
      <c r="Q468" t="s">
        <v>74</v>
      </c>
      <c r="R468" t="s">
        <v>74</v>
      </c>
      <c r="S468" t="s">
        <v>74</v>
      </c>
      <c r="T468" t="s">
        <v>5726</v>
      </c>
      <c r="U468" t="s">
        <v>5727</v>
      </c>
      <c r="V468" t="s">
        <v>5728</v>
      </c>
      <c r="W468" t="s">
        <v>5729</v>
      </c>
      <c r="X468" t="s">
        <v>3807</v>
      </c>
      <c r="Y468" t="s">
        <v>5730</v>
      </c>
      <c r="Z468" t="s">
        <v>5731</v>
      </c>
      <c r="AA468" t="s">
        <v>74</v>
      </c>
      <c r="AB468" t="s">
        <v>74</v>
      </c>
      <c r="AC468" t="s">
        <v>74</v>
      </c>
      <c r="AD468" t="s">
        <v>74</v>
      </c>
      <c r="AE468" t="s">
        <v>74</v>
      </c>
      <c r="AF468" t="s">
        <v>74</v>
      </c>
      <c r="AG468">
        <v>78</v>
      </c>
      <c r="AH468">
        <v>41</v>
      </c>
      <c r="AI468">
        <v>45</v>
      </c>
      <c r="AJ468">
        <v>2</v>
      </c>
      <c r="AK468">
        <v>19</v>
      </c>
      <c r="AL468" t="s">
        <v>1159</v>
      </c>
      <c r="AM468" t="s">
        <v>1160</v>
      </c>
      <c r="AN468" t="s">
        <v>1161</v>
      </c>
      <c r="AO468" t="s">
        <v>5508</v>
      </c>
      <c r="AP468" t="s">
        <v>74</v>
      </c>
      <c r="AQ468" t="s">
        <v>74</v>
      </c>
      <c r="AR468" t="s">
        <v>5509</v>
      </c>
      <c r="AS468" t="s">
        <v>5510</v>
      </c>
      <c r="AT468" t="s">
        <v>74</v>
      </c>
      <c r="AU468">
        <v>1998</v>
      </c>
      <c r="AV468">
        <v>165</v>
      </c>
      <c r="AW468" t="s">
        <v>74</v>
      </c>
      <c r="AX468" t="s">
        <v>74</v>
      </c>
      <c r="AY468" t="s">
        <v>74</v>
      </c>
      <c r="AZ468" t="s">
        <v>74</v>
      </c>
      <c r="BA468" t="s">
        <v>74</v>
      </c>
      <c r="BB468">
        <v>161</v>
      </c>
      <c r="BC468">
        <v>172</v>
      </c>
      <c r="BD468" t="s">
        <v>74</v>
      </c>
      <c r="BE468" t="s">
        <v>5732</v>
      </c>
      <c r="BF468" t="str">
        <f>HYPERLINK("http://dx.doi.org/10.3354/meps165161","http://dx.doi.org/10.3354/meps165161")</f>
        <v>http://dx.doi.org/10.3354/meps165161</v>
      </c>
      <c r="BG468" t="s">
        <v>74</v>
      </c>
      <c r="BH468" t="s">
        <v>74</v>
      </c>
      <c r="BI468">
        <v>12</v>
      </c>
      <c r="BJ468" t="s">
        <v>5512</v>
      </c>
      <c r="BK468" t="s">
        <v>98</v>
      </c>
      <c r="BL468" t="s">
        <v>5513</v>
      </c>
      <c r="BM468" t="s">
        <v>5733</v>
      </c>
      <c r="BN468" t="s">
        <v>74</v>
      </c>
      <c r="BO468" t="s">
        <v>637</v>
      </c>
      <c r="BP468" t="s">
        <v>74</v>
      </c>
      <c r="BQ468" t="s">
        <v>74</v>
      </c>
      <c r="BR468" t="s">
        <v>101</v>
      </c>
      <c r="BS468" t="s">
        <v>5734</v>
      </c>
      <c r="BT468" t="str">
        <f>HYPERLINK("https%3A%2F%2Fwww.webofscience.com%2Fwos%2Fwoscc%2Ffull-record%2FWOS:000073828700014","View Full Record in Web of Science")</f>
        <v>View Full Record in Web of Science</v>
      </c>
    </row>
    <row r="469" spans="1:72" x14ac:dyDescent="0.15">
      <c r="A469" t="s">
        <v>72</v>
      </c>
      <c r="B469" t="s">
        <v>5735</v>
      </c>
      <c r="C469" t="s">
        <v>74</v>
      </c>
      <c r="D469" t="s">
        <v>74</v>
      </c>
      <c r="E469" t="s">
        <v>74</v>
      </c>
      <c r="F469" t="s">
        <v>5735</v>
      </c>
      <c r="G469" t="s">
        <v>74</v>
      </c>
      <c r="H469" t="s">
        <v>74</v>
      </c>
      <c r="I469" t="s">
        <v>5736</v>
      </c>
      <c r="J469" t="s">
        <v>5500</v>
      </c>
      <c r="K469" t="s">
        <v>74</v>
      </c>
      <c r="L469" t="s">
        <v>74</v>
      </c>
      <c r="M469" t="s">
        <v>77</v>
      </c>
      <c r="N469" t="s">
        <v>78</v>
      </c>
      <c r="O469" t="s">
        <v>74</v>
      </c>
      <c r="P469" t="s">
        <v>74</v>
      </c>
      <c r="Q469" t="s">
        <v>74</v>
      </c>
      <c r="R469" t="s">
        <v>74</v>
      </c>
      <c r="S469" t="s">
        <v>74</v>
      </c>
      <c r="T469" t="s">
        <v>5737</v>
      </c>
      <c r="U469" t="s">
        <v>74</v>
      </c>
      <c r="V469" t="s">
        <v>5738</v>
      </c>
      <c r="W469" t="s">
        <v>5739</v>
      </c>
      <c r="X469" t="s">
        <v>5740</v>
      </c>
      <c r="Y469" t="s">
        <v>5741</v>
      </c>
      <c r="Z469" t="s">
        <v>5742</v>
      </c>
      <c r="AA469" t="s">
        <v>74</v>
      </c>
      <c r="AB469" t="s">
        <v>5743</v>
      </c>
      <c r="AC469" t="s">
        <v>74</v>
      </c>
      <c r="AD469" t="s">
        <v>74</v>
      </c>
      <c r="AE469" t="s">
        <v>74</v>
      </c>
      <c r="AF469" t="s">
        <v>74</v>
      </c>
      <c r="AG469">
        <v>14</v>
      </c>
      <c r="AH469">
        <v>16</v>
      </c>
      <c r="AI469">
        <v>17</v>
      </c>
      <c r="AJ469">
        <v>0</v>
      </c>
      <c r="AK469">
        <v>3</v>
      </c>
      <c r="AL469" t="s">
        <v>1159</v>
      </c>
      <c r="AM469" t="s">
        <v>1160</v>
      </c>
      <c r="AN469" t="s">
        <v>1161</v>
      </c>
      <c r="AO469" t="s">
        <v>5508</v>
      </c>
      <c r="AP469" t="s">
        <v>5522</v>
      </c>
      <c r="AQ469" t="s">
        <v>74</v>
      </c>
      <c r="AR469" t="s">
        <v>5509</v>
      </c>
      <c r="AS469" t="s">
        <v>5510</v>
      </c>
      <c r="AT469" t="s">
        <v>74</v>
      </c>
      <c r="AU469">
        <v>1998</v>
      </c>
      <c r="AV469">
        <v>163</v>
      </c>
      <c r="AW469" t="s">
        <v>74</v>
      </c>
      <c r="AX469" t="s">
        <v>74</v>
      </c>
      <c r="AY469" t="s">
        <v>74</v>
      </c>
      <c r="AZ469" t="s">
        <v>74</v>
      </c>
      <c r="BA469" t="s">
        <v>74</v>
      </c>
      <c r="BB469">
        <v>285</v>
      </c>
      <c r="BC469">
        <v>288</v>
      </c>
      <c r="BD469" t="s">
        <v>74</v>
      </c>
      <c r="BE469" t="s">
        <v>5744</v>
      </c>
      <c r="BF469" t="str">
        <f>HYPERLINK("http://dx.doi.org/10.3354/meps163285","http://dx.doi.org/10.3354/meps163285")</f>
        <v>http://dx.doi.org/10.3354/meps163285</v>
      </c>
      <c r="BG469" t="s">
        <v>74</v>
      </c>
      <c r="BH469" t="s">
        <v>74</v>
      </c>
      <c r="BI469">
        <v>4</v>
      </c>
      <c r="BJ469" t="s">
        <v>5512</v>
      </c>
      <c r="BK469" t="s">
        <v>98</v>
      </c>
      <c r="BL469" t="s">
        <v>5513</v>
      </c>
      <c r="BM469" t="s">
        <v>5745</v>
      </c>
      <c r="BN469" t="s">
        <v>74</v>
      </c>
      <c r="BO469" t="s">
        <v>100</v>
      </c>
      <c r="BP469" t="s">
        <v>74</v>
      </c>
      <c r="BQ469" t="s">
        <v>74</v>
      </c>
      <c r="BR469" t="s">
        <v>101</v>
      </c>
      <c r="BS469" t="s">
        <v>5746</v>
      </c>
      <c r="BT469" t="str">
        <f>HYPERLINK("https%3A%2F%2Fwww.webofscience.com%2Fwos%2Fwoscc%2Ffull-record%2FWOS:000073032800028","View Full Record in Web of Science")</f>
        <v>View Full Record in Web of Science</v>
      </c>
    </row>
    <row r="470" spans="1:72" x14ac:dyDescent="0.15">
      <c r="A470" t="s">
        <v>72</v>
      </c>
      <c r="B470" t="s">
        <v>5747</v>
      </c>
      <c r="C470" t="s">
        <v>74</v>
      </c>
      <c r="D470" t="s">
        <v>74</v>
      </c>
      <c r="E470" t="s">
        <v>74</v>
      </c>
      <c r="F470" t="s">
        <v>5747</v>
      </c>
      <c r="G470" t="s">
        <v>74</v>
      </c>
      <c r="H470" t="s">
        <v>74</v>
      </c>
      <c r="I470" t="s">
        <v>5748</v>
      </c>
      <c r="J470" t="s">
        <v>5749</v>
      </c>
      <c r="K470" t="s">
        <v>74</v>
      </c>
      <c r="L470" t="s">
        <v>74</v>
      </c>
      <c r="M470" t="s">
        <v>77</v>
      </c>
      <c r="N470" t="s">
        <v>78</v>
      </c>
      <c r="O470" t="s">
        <v>74</v>
      </c>
      <c r="P470" t="s">
        <v>74</v>
      </c>
      <c r="Q470" t="s">
        <v>74</v>
      </c>
      <c r="R470" t="s">
        <v>74</v>
      </c>
      <c r="S470" t="s">
        <v>74</v>
      </c>
      <c r="T470" t="s">
        <v>5750</v>
      </c>
      <c r="U470" t="s">
        <v>5751</v>
      </c>
      <c r="V470" t="s">
        <v>5752</v>
      </c>
      <c r="W470" t="s">
        <v>5753</v>
      </c>
      <c r="X470" t="s">
        <v>5754</v>
      </c>
      <c r="Y470" t="s">
        <v>5755</v>
      </c>
      <c r="Z470" t="s">
        <v>74</v>
      </c>
      <c r="AA470" t="s">
        <v>74</v>
      </c>
      <c r="AB470" t="s">
        <v>74</v>
      </c>
      <c r="AC470" t="s">
        <v>74</v>
      </c>
      <c r="AD470" t="s">
        <v>74</v>
      </c>
      <c r="AE470" t="s">
        <v>74</v>
      </c>
      <c r="AF470" t="s">
        <v>74</v>
      </c>
      <c r="AG470">
        <v>68</v>
      </c>
      <c r="AH470">
        <v>5</v>
      </c>
      <c r="AI470">
        <v>5</v>
      </c>
      <c r="AJ470">
        <v>0</v>
      </c>
      <c r="AK470">
        <v>5</v>
      </c>
      <c r="AL470" t="s">
        <v>854</v>
      </c>
      <c r="AM470" t="s">
        <v>855</v>
      </c>
      <c r="AN470" t="s">
        <v>856</v>
      </c>
      <c r="AO470" t="s">
        <v>5756</v>
      </c>
      <c r="AP470" t="s">
        <v>74</v>
      </c>
      <c r="AQ470" t="s">
        <v>74</v>
      </c>
      <c r="AR470" t="s">
        <v>5757</v>
      </c>
      <c r="AS470" t="s">
        <v>5758</v>
      </c>
      <c r="AT470" t="s">
        <v>74</v>
      </c>
      <c r="AU470">
        <v>1998</v>
      </c>
      <c r="AV470">
        <v>20</v>
      </c>
      <c r="AW470">
        <v>6</v>
      </c>
      <c r="AX470" t="s">
        <v>74</v>
      </c>
      <c r="AY470" t="s">
        <v>74</v>
      </c>
      <c r="AZ470" t="s">
        <v>74</v>
      </c>
      <c r="BA470" t="s">
        <v>74</v>
      </c>
      <c r="BB470">
        <v>517</v>
      </c>
      <c r="BC470">
        <v>531</v>
      </c>
      <c r="BD470" t="s">
        <v>74</v>
      </c>
      <c r="BE470" t="s">
        <v>5759</v>
      </c>
      <c r="BF470" t="str">
        <f>HYPERLINK("http://dx.doi.org/10.1023/A:1004768716893","http://dx.doi.org/10.1023/A:1004768716893")</f>
        <v>http://dx.doi.org/10.1023/A:1004768716893</v>
      </c>
      <c r="BG470" t="s">
        <v>74</v>
      </c>
      <c r="BH470" t="s">
        <v>74</v>
      </c>
      <c r="BI470">
        <v>15</v>
      </c>
      <c r="BJ470" t="s">
        <v>5760</v>
      </c>
      <c r="BK470" t="s">
        <v>98</v>
      </c>
      <c r="BL470" t="s">
        <v>5760</v>
      </c>
      <c r="BM470" t="s">
        <v>5761</v>
      </c>
      <c r="BN470" t="s">
        <v>74</v>
      </c>
      <c r="BO470" t="s">
        <v>74</v>
      </c>
      <c r="BP470" t="s">
        <v>74</v>
      </c>
      <c r="BQ470" t="s">
        <v>74</v>
      </c>
      <c r="BR470" t="s">
        <v>101</v>
      </c>
      <c r="BS470" t="s">
        <v>5762</v>
      </c>
      <c r="BT470" t="str">
        <f>HYPERLINK("https%3A%2F%2Fwww.webofscience.com%2Fwos%2Fwoscc%2Ffull-record%2FWOS:000086628600004","View Full Record in Web of Science")</f>
        <v>View Full Record in Web of Science</v>
      </c>
    </row>
    <row r="471" spans="1:72" x14ac:dyDescent="0.15">
      <c r="A471" t="s">
        <v>72</v>
      </c>
      <c r="B471" t="s">
        <v>5763</v>
      </c>
      <c r="C471" t="s">
        <v>74</v>
      </c>
      <c r="D471" t="s">
        <v>74</v>
      </c>
      <c r="E471" t="s">
        <v>74</v>
      </c>
      <c r="F471" t="s">
        <v>5763</v>
      </c>
      <c r="G471" t="s">
        <v>74</v>
      </c>
      <c r="H471" t="s">
        <v>74</v>
      </c>
      <c r="I471" t="s">
        <v>5764</v>
      </c>
      <c r="J471" t="s">
        <v>784</v>
      </c>
      <c r="K471" t="s">
        <v>74</v>
      </c>
      <c r="L471" t="s">
        <v>74</v>
      </c>
      <c r="M471" t="s">
        <v>77</v>
      </c>
      <c r="N471" t="s">
        <v>78</v>
      </c>
      <c r="O471" t="s">
        <v>74</v>
      </c>
      <c r="P471" t="s">
        <v>74</v>
      </c>
      <c r="Q471" t="s">
        <v>74</v>
      </c>
      <c r="R471" t="s">
        <v>74</v>
      </c>
      <c r="S471" t="s">
        <v>74</v>
      </c>
      <c r="T471" t="s">
        <v>74</v>
      </c>
      <c r="U471" t="s">
        <v>5765</v>
      </c>
      <c r="V471" t="s">
        <v>5766</v>
      </c>
      <c r="W471" t="s">
        <v>5767</v>
      </c>
      <c r="X471" t="s">
        <v>5768</v>
      </c>
      <c r="Y471" t="s">
        <v>5769</v>
      </c>
      <c r="Z471" t="s">
        <v>5770</v>
      </c>
      <c r="AA471" t="s">
        <v>74</v>
      </c>
      <c r="AB471" t="s">
        <v>5771</v>
      </c>
      <c r="AC471" t="s">
        <v>74</v>
      </c>
      <c r="AD471" t="s">
        <v>74</v>
      </c>
      <c r="AE471" t="s">
        <v>74</v>
      </c>
      <c r="AF471" t="s">
        <v>74</v>
      </c>
      <c r="AG471">
        <v>46</v>
      </c>
      <c r="AH471">
        <v>49</v>
      </c>
      <c r="AI471">
        <v>53</v>
      </c>
      <c r="AJ471">
        <v>0</v>
      </c>
      <c r="AK471">
        <v>5</v>
      </c>
      <c r="AL471" t="s">
        <v>877</v>
      </c>
      <c r="AM471" t="s">
        <v>826</v>
      </c>
      <c r="AN471" t="s">
        <v>827</v>
      </c>
      <c r="AO471" t="s">
        <v>815</v>
      </c>
      <c r="AP471" t="s">
        <v>828</v>
      </c>
      <c r="AQ471" t="s">
        <v>74</v>
      </c>
      <c r="AR471" t="s">
        <v>797</v>
      </c>
      <c r="AS471" t="s">
        <v>798</v>
      </c>
      <c r="AT471" t="s">
        <v>2502</v>
      </c>
      <c r="AU471">
        <v>1998</v>
      </c>
      <c r="AV471">
        <v>33</v>
      </c>
      <c r="AW471">
        <v>1</v>
      </c>
      <c r="AX471" t="s">
        <v>74</v>
      </c>
      <c r="AY471" t="s">
        <v>74</v>
      </c>
      <c r="AZ471" t="s">
        <v>74</v>
      </c>
      <c r="BA471" t="s">
        <v>74</v>
      </c>
      <c r="BB471">
        <v>145</v>
      </c>
      <c r="BC471">
        <v>152</v>
      </c>
      <c r="BD471" t="s">
        <v>74</v>
      </c>
      <c r="BE471" t="s">
        <v>5772</v>
      </c>
      <c r="BF471" t="str">
        <f>HYPERLINK("http://dx.doi.org/10.1111/j.1945-5100.1998.tb01616.x","http://dx.doi.org/10.1111/j.1945-5100.1998.tb01616.x")</f>
        <v>http://dx.doi.org/10.1111/j.1945-5100.1998.tb01616.x</v>
      </c>
      <c r="BG471" t="s">
        <v>74</v>
      </c>
      <c r="BH471" t="s">
        <v>74</v>
      </c>
      <c r="BI471">
        <v>8</v>
      </c>
      <c r="BJ471" t="s">
        <v>143</v>
      </c>
      <c r="BK471" t="s">
        <v>98</v>
      </c>
      <c r="BL471" t="s">
        <v>143</v>
      </c>
      <c r="BM471" t="s">
        <v>5773</v>
      </c>
      <c r="BN471" t="s">
        <v>74</v>
      </c>
      <c r="BO471" t="s">
        <v>100</v>
      </c>
      <c r="BP471" t="s">
        <v>74</v>
      </c>
      <c r="BQ471" t="s">
        <v>74</v>
      </c>
      <c r="BR471" t="s">
        <v>101</v>
      </c>
      <c r="BS471" t="s">
        <v>5774</v>
      </c>
      <c r="BT471" t="str">
        <f>HYPERLINK("https%3A%2F%2Fwww.webofscience.com%2Fwos%2Fwoscc%2Ffull-record%2FWOS:000071579600016","View Full Record in Web of Science")</f>
        <v>View Full Record in Web of Science</v>
      </c>
    </row>
    <row r="472" spans="1:72" x14ac:dyDescent="0.15">
      <c r="A472" t="s">
        <v>72</v>
      </c>
      <c r="B472" t="s">
        <v>5775</v>
      </c>
      <c r="C472" t="s">
        <v>74</v>
      </c>
      <c r="D472" t="s">
        <v>74</v>
      </c>
      <c r="E472" t="s">
        <v>74</v>
      </c>
      <c r="F472" t="s">
        <v>5775</v>
      </c>
      <c r="G472" t="s">
        <v>74</v>
      </c>
      <c r="H472" t="s">
        <v>74</v>
      </c>
      <c r="I472" t="s">
        <v>5776</v>
      </c>
      <c r="J472" t="s">
        <v>5777</v>
      </c>
      <c r="K472" t="s">
        <v>74</v>
      </c>
      <c r="L472" t="s">
        <v>74</v>
      </c>
      <c r="M472" t="s">
        <v>77</v>
      </c>
      <c r="N472" t="s">
        <v>78</v>
      </c>
      <c r="O472" t="s">
        <v>74</v>
      </c>
      <c r="P472" t="s">
        <v>74</v>
      </c>
      <c r="Q472" t="s">
        <v>74</v>
      </c>
      <c r="R472" t="s">
        <v>74</v>
      </c>
      <c r="S472" t="s">
        <v>74</v>
      </c>
      <c r="T472" t="s">
        <v>74</v>
      </c>
      <c r="U472" t="s">
        <v>5778</v>
      </c>
      <c r="V472" t="s">
        <v>5779</v>
      </c>
      <c r="W472" t="s">
        <v>5780</v>
      </c>
      <c r="X472" t="s">
        <v>5781</v>
      </c>
      <c r="Y472" t="s">
        <v>5782</v>
      </c>
      <c r="Z472" t="s">
        <v>74</v>
      </c>
      <c r="AA472" t="s">
        <v>5783</v>
      </c>
      <c r="AB472" t="s">
        <v>5784</v>
      </c>
      <c r="AC472" t="s">
        <v>74</v>
      </c>
      <c r="AD472" t="s">
        <v>74</v>
      </c>
      <c r="AE472" t="s">
        <v>74</v>
      </c>
      <c r="AF472" t="s">
        <v>74</v>
      </c>
      <c r="AG472">
        <v>42</v>
      </c>
      <c r="AH472">
        <v>8</v>
      </c>
      <c r="AI472">
        <v>8</v>
      </c>
      <c r="AJ472">
        <v>0</v>
      </c>
      <c r="AK472">
        <v>3</v>
      </c>
      <c r="AL472" t="s">
        <v>5785</v>
      </c>
      <c r="AM472" t="s">
        <v>5786</v>
      </c>
      <c r="AN472" t="s">
        <v>5787</v>
      </c>
      <c r="AO472" t="s">
        <v>5788</v>
      </c>
      <c r="AP472" t="s">
        <v>74</v>
      </c>
      <c r="AQ472" t="s">
        <v>74</v>
      </c>
      <c r="AR472" t="s">
        <v>5789</v>
      </c>
      <c r="AS472" t="s">
        <v>5790</v>
      </c>
      <c r="AT472" t="s">
        <v>74</v>
      </c>
      <c r="AU472">
        <v>1998</v>
      </c>
      <c r="AV472">
        <v>63</v>
      </c>
      <c r="AW472" t="s">
        <v>694</v>
      </c>
      <c r="AX472" t="s">
        <v>74</v>
      </c>
      <c r="AY472" t="s">
        <v>74</v>
      </c>
      <c r="AZ472" t="s">
        <v>74</v>
      </c>
      <c r="BA472" t="s">
        <v>74</v>
      </c>
      <c r="BB472">
        <v>243</v>
      </c>
      <c r="BC472">
        <v>261</v>
      </c>
      <c r="BD472" t="s">
        <v>74</v>
      </c>
      <c r="BE472" t="s">
        <v>5791</v>
      </c>
      <c r="BF472" t="str">
        <f>HYPERLINK("http://dx.doi.org/10.1007/BF01164153","http://dx.doi.org/10.1007/BF01164153")</f>
        <v>http://dx.doi.org/10.1007/BF01164153</v>
      </c>
      <c r="BG472" t="s">
        <v>74</v>
      </c>
      <c r="BH472" t="s">
        <v>74</v>
      </c>
      <c r="BI472">
        <v>19</v>
      </c>
      <c r="BJ472" t="s">
        <v>5792</v>
      </c>
      <c r="BK472" t="s">
        <v>98</v>
      </c>
      <c r="BL472" t="s">
        <v>5792</v>
      </c>
      <c r="BM472" t="s">
        <v>5793</v>
      </c>
      <c r="BN472" t="s">
        <v>74</v>
      </c>
      <c r="BO472" t="s">
        <v>74</v>
      </c>
      <c r="BP472" t="s">
        <v>74</v>
      </c>
      <c r="BQ472" t="s">
        <v>74</v>
      </c>
      <c r="BR472" t="s">
        <v>101</v>
      </c>
      <c r="BS472" t="s">
        <v>5794</v>
      </c>
      <c r="BT472" t="str">
        <f>HYPERLINK("https%3A%2F%2Fwww.webofscience.com%2Fwos%2Fwoscc%2Ffull-record%2FWOS:000077412600005","View Full Record in Web of Science")</f>
        <v>View Full Record in Web of Science</v>
      </c>
    </row>
    <row r="473" spans="1:72" x14ac:dyDescent="0.15">
      <c r="A473" t="s">
        <v>2175</v>
      </c>
      <c r="B473" t="s">
        <v>5795</v>
      </c>
      <c r="C473" t="s">
        <v>74</v>
      </c>
      <c r="D473" t="s">
        <v>5796</v>
      </c>
      <c r="E473" t="s">
        <v>74</v>
      </c>
      <c r="F473" t="s">
        <v>5795</v>
      </c>
      <c r="G473" t="s">
        <v>74</v>
      </c>
      <c r="H473" t="s">
        <v>74</v>
      </c>
      <c r="I473" t="s">
        <v>5797</v>
      </c>
      <c r="J473" t="s">
        <v>5798</v>
      </c>
      <c r="K473" t="s">
        <v>2562</v>
      </c>
      <c r="L473" t="s">
        <v>74</v>
      </c>
      <c r="M473" t="s">
        <v>77</v>
      </c>
      <c r="N473" t="s">
        <v>2180</v>
      </c>
      <c r="O473" t="s">
        <v>5799</v>
      </c>
      <c r="P473" t="s">
        <v>5800</v>
      </c>
      <c r="Q473" t="s">
        <v>5801</v>
      </c>
      <c r="R473" t="s">
        <v>74</v>
      </c>
      <c r="S473" t="s">
        <v>74</v>
      </c>
      <c r="T473" t="s">
        <v>5802</v>
      </c>
      <c r="U473" t="s">
        <v>74</v>
      </c>
      <c r="V473" t="s">
        <v>5803</v>
      </c>
      <c r="W473" t="s">
        <v>5804</v>
      </c>
      <c r="X473" t="s">
        <v>5805</v>
      </c>
      <c r="Y473" t="s">
        <v>5806</v>
      </c>
      <c r="Z473" t="s">
        <v>74</v>
      </c>
      <c r="AA473" t="s">
        <v>74</v>
      </c>
      <c r="AB473" t="s">
        <v>74</v>
      </c>
      <c r="AC473" t="s">
        <v>74</v>
      </c>
      <c r="AD473" t="s">
        <v>74</v>
      </c>
      <c r="AE473" t="s">
        <v>74</v>
      </c>
      <c r="AF473" t="s">
        <v>74</v>
      </c>
      <c r="AG473">
        <v>8</v>
      </c>
      <c r="AH473">
        <v>0</v>
      </c>
      <c r="AI473">
        <v>0</v>
      </c>
      <c r="AJ473">
        <v>0</v>
      </c>
      <c r="AK473">
        <v>2</v>
      </c>
      <c r="AL473" t="s">
        <v>2573</v>
      </c>
      <c r="AM473" t="s">
        <v>2574</v>
      </c>
      <c r="AN473" t="s">
        <v>2575</v>
      </c>
      <c r="AO473" t="s">
        <v>2576</v>
      </c>
      <c r="AP473" t="s">
        <v>74</v>
      </c>
      <c r="AQ473" t="s">
        <v>5807</v>
      </c>
      <c r="AR473" t="s">
        <v>2578</v>
      </c>
      <c r="AS473" t="s">
        <v>74</v>
      </c>
      <c r="AT473" t="s">
        <v>74</v>
      </c>
      <c r="AU473">
        <v>1998</v>
      </c>
      <c r="AV473">
        <v>3525</v>
      </c>
      <c r="AW473" t="s">
        <v>74</v>
      </c>
      <c r="AX473" t="s">
        <v>74</v>
      </c>
      <c r="AY473" t="s">
        <v>74</v>
      </c>
      <c r="AZ473" t="s">
        <v>74</v>
      </c>
      <c r="BA473" t="s">
        <v>74</v>
      </c>
      <c r="BB473">
        <v>117</v>
      </c>
      <c r="BC473">
        <v>124</v>
      </c>
      <c r="BD473" t="s">
        <v>74</v>
      </c>
      <c r="BE473" t="s">
        <v>74</v>
      </c>
      <c r="BF473" t="s">
        <v>74</v>
      </c>
      <c r="BG473" t="s">
        <v>74</v>
      </c>
      <c r="BH473" t="s">
        <v>74</v>
      </c>
      <c r="BI473">
        <v>8</v>
      </c>
      <c r="BJ473" t="s">
        <v>5808</v>
      </c>
      <c r="BK473" t="s">
        <v>2189</v>
      </c>
      <c r="BL473" t="s">
        <v>5809</v>
      </c>
      <c r="BM473" t="s">
        <v>5810</v>
      </c>
      <c r="BN473" t="s">
        <v>74</v>
      </c>
      <c r="BO473" t="s">
        <v>74</v>
      </c>
      <c r="BP473" t="s">
        <v>74</v>
      </c>
      <c r="BQ473" t="s">
        <v>74</v>
      </c>
      <c r="BR473" t="s">
        <v>101</v>
      </c>
      <c r="BS473" t="s">
        <v>5811</v>
      </c>
      <c r="BT473" t="str">
        <f>HYPERLINK("https%3A%2F%2Fwww.webofscience.com%2Fwos%2Fwoscc%2Ffull-record%2FWOS:000078690700012","View Full Record in Web of Science")</f>
        <v>View Full Record in Web of Science</v>
      </c>
    </row>
    <row r="474" spans="1:72" x14ac:dyDescent="0.15">
      <c r="A474" t="s">
        <v>2175</v>
      </c>
      <c r="B474" t="s">
        <v>5812</v>
      </c>
      <c r="C474" t="s">
        <v>74</v>
      </c>
      <c r="D474" t="s">
        <v>5796</v>
      </c>
      <c r="E474" t="s">
        <v>74</v>
      </c>
      <c r="F474" t="s">
        <v>5812</v>
      </c>
      <c r="G474" t="s">
        <v>74</v>
      </c>
      <c r="H474" t="s">
        <v>74</v>
      </c>
      <c r="I474" t="s">
        <v>5813</v>
      </c>
      <c r="J474" t="s">
        <v>5798</v>
      </c>
      <c r="K474" t="s">
        <v>2562</v>
      </c>
      <c r="L474" t="s">
        <v>74</v>
      </c>
      <c r="M474" t="s">
        <v>77</v>
      </c>
      <c r="N474" t="s">
        <v>2180</v>
      </c>
      <c r="O474" t="s">
        <v>5799</v>
      </c>
      <c r="P474" t="s">
        <v>5800</v>
      </c>
      <c r="Q474" t="s">
        <v>5801</v>
      </c>
      <c r="R474" t="s">
        <v>74</v>
      </c>
      <c r="S474" t="s">
        <v>74</v>
      </c>
      <c r="T474" t="s">
        <v>5814</v>
      </c>
      <c r="U474" t="s">
        <v>74</v>
      </c>
      <c r="V474" t="s">
        <v>5815</v>
      </c>
      <c r="W474" t="s">
        <v>5804</v>
      </c>
      <c r="X474" t="s">
        <v>5805</v>
      </c>
      <c r="Y474" t="s">
        <v>5816</v>
      </c>
      <c r="Z474" t="s">
        <v>74</v>
      </c>
      <c r="AA474" t="s">
        <v>5817</v>
      </c>
      <c r="AB474" t="s">
        <v>5818</v>
      </c>
      <c r="AC474" t="s">
        <v>74</v>
      </c>
      <c r="AD474" t="s">
        <v>74</v>
      </c>
      <c r="AE474" t="s">
        <v>74</v>
      </c>
      <c r="AF474" t="s">
        <v>74</v>
      </c>
      <c r="AG474">
        <v>12</v>
      </c>
      <c r="AH474">
        <v>0</v>
      </c>
      <c r="AI474">
        <v>0</v>
      </c>
      <c r="AJ474">
        <v>0</v>
      </c>
      <c r="AK474">
        <v>1</v>
      </c>
      <c r="AL474" t="s">
        <v>2573</v>
      </c>
      <c r="AM474" t="s">
        <v>2574</v>
      </c>
      <c r="AN474" t="s">
        <v>2575</v>
      </c>
      <c r="AO474" t="s">
        <v>2576</v>
      </c>
      <c r="AP474" t="s">
        <v>74</v>
      </c>
      <c r="AQ474" t="s">
        <v>5807</v>
      </c>
      <c r="AR474" t="s">
        <v>2578</v>
      </c>
      <c r="AS474" t="s">
        <v>74</v>
      </c>
      <c r="AT474" t="s">
        <v>74</v>
      </c>
      <c r="AU474">
        <v>1998</v>
      </c>
      <c r="AV474">
        <v>3525</v>
      </c>
      <c r="AW474" t="s">
        <v>74</v>
      </c>
      <c r="AX474" t="s">
        <v>74</v>
      </c>
      <c r="AY474" t="s">
        <v>74</v>
      </c>
      <c r="AZ474" t="s">
        <v>74</v>
      </c>
      <c r="BA474" t="s">
        <v>74</v>
      </c>
      <c r="BB474">
        <v>157</v>
      </c>
      <c r="BC474">
        <v>167</v>
      </c>
      <c r="BD474" t="s">
        <v>74</v>
      </c>
      <c r="BE474" t="s">
        <v>74</v>
      </c>
      <c r="BF474" t="s">
        <v>74</v>
      </c>
      <c r="BG474" t="s">
        <v>74</v>
      </c>
      <c r="BH474" t="s">
        <v>74</v>
      </c>
      <c r="BI474">
        <v>11</v>
      </c>
      <c r="BJ474" t="s">
        <v>5808</v>
      </c>
      <c r="BK474" t="s">
        <v>2189</v>
      </c>
      <c r="BL474" t="s">
        <v>5809</v>
      </c>
      <c r="BM474" t="s">
        <v>5810</v>
      </c>
      <c r="BN474" t="s">
        <v>74</v>
      </c>
      <c r="BO474" t="s">
        <v>74</v>
      </c>
      <c r="BP474" t="s">
        <v>74</v>
      </c>
      <c r="BQ474" t="s">
        <v>74</v>
      </c>
      <c r="BR474" t="s">
        <v>101</v>
      </c>
      <c r="BS474" t="s">
        <v>5819</v>
      </c>
      <c r="BT474" t="str">
        <f>HYPERLINK("https%3A%2F%2Fwww.webofscience.com%2Fwos%2Fwoscc%2Ffull-record%2FWOS:000078690700016","View Full Record in Web of Science")</f>
        <v>View Full Record in Web of Science</v>
      </c>
    </row>
    <row r="475" spans="1:72" x14ac:dyDescent="0.15">
      <c r="A475" t="s">
        <v>72</v>
      </c>
      <c r="B475" t="s">
        <v>5820</v>
      </c>
      <c r="C475" t="s">
        <v>74</v>
      </c>
      <c r="D475" t="s">
        <v>74</v>
      </c>
      <c r="E475" t="s">
        <v>74</v>
      </c>
      <c r="F475" t="s">
        <v>5820</v>
      </c>
      <c r="G475" t="s">
        <v>74</v>
      </c>
      <c r="H475" t="s">
        <v>74</v>
      </c>
      <c r="I475" t="s">
        <v>5821</v>
      </c>
      <c r="J475" t="s">
        <v>5822</v>
      </c>
      <c r="K475" t="s">
        <v>74</v>
      </c>
      <c r="L475" t="s">
        <v>74</v>
      </c>
      <c r="M475" t="s">
        <v>77</v>
      </c>
      <c r="N475" t="s">
        <v>78</v>
      </c>
      <c r="O475" t="s">
        <v>74</v>
      </c>
      <c r="P475" t="s">
        <v>74</v>
      </c>
      <c r="Q475" t="s">
        <v>74</v>
      </c>
      <c r="R475" t="s">
        <v>74</v>
      </c>
      <c r="S475" t="s">
        <v>74</v>
      </c>
      <c r="T475" t="s">
        <v>74</v>
      </c>
      <c r="U475" t="s">
        <v>5823</v>
      </c>
      <c r="V475" t="s">
        <v>5824</v>
      </c>
      <c r="W475" t="s">
        <v>5825</v>
      </c>
      <c r="X475" t="s">
        <v>5826</v>
      </c>
      <c r="Y475" t="s">
        <v>5827</v>
      </c>
      <c r="Z475" t="s">
        <v>74</v>
      </c>
      <c r="AA475" t="s">
        <v>626</v>
      </c>
      <c r="AB475" t="s">
        <v>74</v>
      </c>
      <c r="AC475" t="s">
        <v>74</v>
      </c>
      <c r="AD475" t="s">
        <v>74</v>
      </c>
      <c r="AE475" t="s">
        <v>74</v>
      </c>
      <c r="AF475" t="s">
        <v>74</v>
      </c>
      <c r="AG475">
        <v>29</v>
      </c>
      <c r="AH475">
        <v>60</v>
      </c>
      <c r="AI475">
        <v>70</v>
      </c>
      <c r="AJ475">
        <v>0</v>
      </c>
      <c r="AK475">
        <v>16</v>
      </c>
      <c r="AL475" t="s">
        <v>627</v>
      </c>
      <c r="AM475" t="s">
        <v>628</v>
      </c>
      <c r="AN475" t="s">
        <v>629</v>
      </c>
      <c r="AO475" t="s">
        <v>5828</v>
      </c>
      <c r="AP475" t="s">
        <v>74</v>
      </c>
      <c r="AQ475" t="s">
        <v>74</v>
      </c>
      <c r="AR475" t="s">
        <v>5829</v>
      </c>
      <c r="AS475" t="s">
        <v>5830</v>
      </c>
      <c r="AT475" t="s">
        <v>2502</v>
      </c>
      <c r="AU475">
        <v>1998</v>
      </c>
      <c r="AV475">
        <v>126</v>
      </c>
      <c r="AW475">
        <v>1</v>
      </c>
      <c r="AX475" t="s">
        <v>74</v>
      </c>
      <c r="AY475" t="s">
        <v>74</v>
      </c>
      <c r="AZ475" t="s">
        <v>74</v>
      </c>
      <c r="BA475" t="s">
        <v>74</v>
      </c>
      <c r="BB475">
        <v>199</v>
      </c>
      <c r="BC475">
        <v>209</v>
      </c>
      <c r="BD475" t="s">
        <v>74</v>
      </c>
      <c r="BE475" t="s">
        <v>5831</v>
      </c>
      <c r="BF475" t="str">
        <f>HYPERLINK("http://dx.doi.org/10.1175/1520-0493(1998)126&lt;0199:ACSOAK&gt;2.0.CO;2","http://dx.doi.org/10.1175/1520-0493(1998)126&lt;0199:ACSOAK&gt;2.0.CO;2")</f>
        <v>http://dx.doi.org/10.1175/1520-0493(1998)126&lt;0199:ACSOAK&gt;2.0.CO;2</v>
      </c>
      <c r="BG475" t="s">
        <v>74</v>
      </c>
      <c r="BH475" t="s">
        <v>74</v>
      </c>
      <c r="BI475">
        <v>11</v>
      </c>
      <c r="BJ475" t="s">
        <v>635</v>
      </c>
      <c r="BK475" t="s">
        <v>98</v>
      </c>
      <c r="BL475" t="s">
        <v>635</v>
      </c>
      <c r="BM475" t="s">
        <v>5832</v>
      </c>
      <c r="BN475" t="s">
        <v>74</v>
      </c>
      <c r="BO475" t="s">
        <v>100</v>
      </c>
      <c r="BP475" t="s">
        <v>74</v>
      </c>
      <c r="BQ475" t="s">
        <v>74</v>
      </c>
      <c r="BR475" t="s">
        <v>101</v>
      </c>
      <c r="BS475" t="s">
        <v>5833</v>
      </c>
      <c r="BT475" t="str">
        <f>HYPERLINK("https%3A%2F%2Fwww.webofscience.com%2Fwos%2Fwoscc%2Ffull-record%2FWOS:000071118600010","View Full Record in Web of Science")</f>
        <v>View Full Record in Web of Science</v>
      </c>
    </row>
    <row r="476" spans="1:72" x14ac:dyDescent="0.15">
      <c r="A476" t="s">
        <v>72</v>
      </c>
      <c r="B476" t="s">
        <v>5834</v>
      </c>
      <c r="C476" t="s">
        <v>74</v>
      </c>
      <c r="D476" t="s">
        <v>74</v>
      </c>
      <c r="E476" t="s">
        <v>74</v>
      </c>
      <c r="F476" t="s">
        <v>5834</v>
      </c>
      <c r="G476" t="s">
        <v>74</v>
      </c>
      <c r="H476" t="s">
        <v>74</v>
      </c>
      <c r="I476" t="s">
        <v>5835</v>
      </c>
      <c r="J476" t="s">
        <v>5836</v>
      </c>
      <c r="K476" t="s">
        <v>74</v>
      </c>
      <c r="L476" t="s">
        <v>74</v>
      </c>
      <c r="M476" t="s">
        <v>77</v>
      </c>
      <c r="N476" t="s">
        <v>52</v>
      </c>
      <c r="O476" t="s">
        <v>74</v>
      </c>
      <c r="P476" t="s">
        <v>74</v>
      </c>
      <c r="Q476" t="s">
        <v>74</v>
      </c>
      <c r="R476" t="s">
        <v>74</v>
      </c>
      <c r="S476" t="s">
        <v>74</v>
      </c>
      <c r="T476" t="s">
        <v>74</v>
      </c>
      <c r="U476" t="s">
        <v>74</v>
      </c>
      <c r="V476" t="s">
        <v>74</v>
      </c>
      <c r="W476" t="s">
        <v>5837</v>
      </c>
      <c r="X476" t="s">
        <v>1585</v>
      </c>
      <c r="Y476" t="s">
        <v>74</v>
      </c>
      <c r="Z476" t="s">
        <v>74</v>
      </c>
      <c r="AA476" t="s">
        <v>74</v>
      </c>
      <c r="AB476" t="s">
        <v>74</v>
      </c>
      <c r="AC476" t="s">
        <v>74</v>
      </c>
      <c r="AD476" t="s">
        <v>74</v>
      </c>
      <c r="AE476" t="s">
        <v>74</v>
      </c>
      <c r="AF476" t="s">
        <v>74</v>
      </c>
      <c r="AG476">
        <v>0</v>
      </c>
      <c r="AH476">
        <v>0</v>
      </c>
      <c r="AI476">
        <v>0</v>
      </c>
      <c r="AJ476">
        <v>0</v>
      </c>
      <c r="AK476">
        <v>0</v>
      </c>
      <c r="AL476" t="s">
        <v>914</v>
      </c>
      <c r="AM476" t="s">
        <v>244</v>
      </c>
      <c r="AN476" t="s">
        <v>915</v>
      </c>
      <c r="AO476" t="s">
        <v>5838</v>
      </c>
      <c r="AP476" t="s">
        <v>5839</v>
      </c>
      <c r="AQ476" t="s">
        <v>74</v>
      </c>
      <c r="AR476" t="s">
        <v>5840</v>
      </c>
      <c r="AS476" t="s">
        <v>5841</v>
      </c>
      <c r="AT476" t="s">
        <v>74</v>
      </c>
      <c r="AU476">
        <v>1998</v>
      </c>
      <c r="AV476">
        <v>358</v>
      </c>
      <c r="AW476">
        <v>1</v>
      </c>
      <c r="AX476" t="s">
        <v>74</v>
      </c>
      <c r="AY476">
        <v>2</v>
      </c>
      <c r="AZ476" t="s">
        <v>74</v>
      </c>
      <c r="BA476" t="s">
        <v>5842</v>
      </c>
      <c r="BB476" t="s">
        <v>5843</v>
      </c>
      <c r="BC476" t="s">
        <v>5843</v>
      </c>
      <c r="BD476" t="s">
        <v>74</v>
      </c>
      <c r="BE476" t="s">
        <v>74</v>
      </c>
      <c r="BF476" t="s">
        <v>74</v>
      </c>
      <c r="BG476" t="s">
        <v>74</v>
      </c>
      <c r="BH476" t="s">
        <v>74</v>
      </c>
      <c r="BI476">
        <v>1</v>
      </c>
      <c r="BJ476" t="s">
        <v>5844</v>
      </c>
      <c r="BK476" t="s">
        <v>98</v>
      </c>
      <c r="BL476" t="s">
        <v>5844</v>
      </c>
      <c r="BM476" t="s">
        <v>5845</v>
      </c>
      <c r="BN476" t="s">
        <v>74</v>
      </c>
      <c r="BO476" t="s">
        <v>74</v>
      </c>
      <c r="BP476" t="s">
        <v>74</v>
      </c>
      <c r="BQ476" t="s">
        <v>74</v>
      </c>
      <c r="BR476" t="s">
        <v>101</v>
      </c>
      <c r="BS476" t="s">
        <v>5846</v>
      </c>
      <c r="BT476" t="str">
        <f>HYPERLINK("https%3A%2F%2Fwww.webofscience.com%2Fwos%2Fwoscc%2Ffull-record%2FWOS:000075207800174","View Full Record in Web of Science")</f>
        <v>View Full Record in Web of Science</v>
      </c>
    </row>
    <row r="477" spans="1:72" x14ac:dyDescent="0.15">
      <c r="A477" t="s">
        <v>2175</v>
      </c>
      <c r="B477" t="s">
        <v>5847</v>
      </c>
      <c r="C477" t="s">
        <v>74</v>
      </c>
      <c r="D477" t="s">
        <v>5848</v>
      </c>
      <c r="E477" t="s">
        <v>74</v>
      </c>
      <c r="F477" t="s">
        <v>5847</v>
      </c>
      <c r="G477" t="s">
        <v>74</v>
      </c>
      <c r="H477" t="s">
        <v>74</v>
      </c>
      <c r="I477" t="s">
        <v>5849</v>
      </c>
      <c r="J477" t="s">
        <v>5850</v>
      </c>
      <c r="K477" t="s">
        <v>74</v>
      </c>
      <c r="L477" t="s">
        <v>74</v>
      </c>
      <c r="M477" t="s">
        <v>77</v>
      </c>
      <c r="N477" t="s">
        <v>2180</v>
      </c>
      <c r="O477" t="s">
        <v>5851</v>
      </c>
      <c r="P477" t="s">
        <v>5852</v>
      </c>
      <c r="Q477" t="s">
        <v>5853</v>
      </c>
      <c r="R477" t="s">
        <v>74</v>
      </c>
      <c r="S477" t="s">
        <v>74</v>
      </c>
      <c r="T477" t="s">
        <v>74</v>
      </c>
      <c r="U477" t="s">
        <v>74</v>
      </c>
      <c r="V477" t="s">
        <v>74</v>
      </c>
      <c r="W477" t="s">
        <v>5854</v>
      </c>
      <c r="X477" t="s">
        <v>5855</v>
      </c>
      <c r="Y477" t="s">
        <v>5856</v>
      </c>
      <c r="Z477" t="s">
        <v>74</v>
      </c>
      <c r="AA477" t="s">
        <v>5857</v>
      </c>
      <c r="AB477" t="s">
        <v>74</v>
      </c>
      <c r="AC477" t="s">
        <v>74</v>
      </c>
      <c r="AD477" t="s">
        <v>74</v>
      </c>
      <c r="AE477" t="s">
        <v>74</v>
      </c>
      <c r="AF477" t="s">
        <v>74</v>
      </c>
      <c r="AG477">
        <v>0</v>
      </c>
      <c r="AH477">
        <v>1</v>
      </c>
      <c r="AI477">
        <v>1</v>
      </c>
      <c r="AJ477">
        <v>0</v>
      </c>
      <c r="AK477">
        <v>0</v>
      </c>
      <c r="AL477" t="s">
        <v>2604</v>
      </c>
      <c r="AM477" t="s">
        <v>244</v>
      </c>
      <c r="AN477" t="s">
        <v>1400</v>
      </c>
      <c r="AO477" t="s">
        <v>74</v>
      </c>
      <c r="AP477" t="s">
        <v>74</v>
      </c>
      <c r="AQ477" t="s">
        <v>5858</v>
      </c>
      <c r="AR477" t="s">
        <v>74</v>
      </c>
      <c r="AS477" t="s">
        <v>74</v>
      </c>
      <c r="AT477" t="s">
        <v>74</v>
      </c>
      <c r="AU477">
        <v>1998</v>
      </c>
      <c r="AV477" t="s">
        <v>74</v>
      </c>
      <c r="AW477" t="s">
        <v>74</v>
      </c>
      <c r="AX477" t="s">
        <v>74</v>
      </c>
      <c r="AY477" t="s">
        <v>74</v>
      </c>
      <c r="AZ477" t="s">
        <v>74</v>
      </c>
      <c r="BA477" t="s">
        <v>74</v>
      </c>
      <c r="BB477">
        <v>213</v>
      </c>
      <c r="BC477">
        <v>216</v>
      </c>
      <c r="BD477" t="s">
        <v>74</v>
      </c>
      <c r="BE477" t="s">
        <v>74</v>
      </c>
      <c r="BF477" t="s">
        <v>74</v>
      </c>
      <c r="BG477" t="s">
        <v>74</v>
      </c>
      <c r="BH477" t="s">
        <v>74</v>
      </c>
      <c r="BI477">
        <v>4</v>
      </c>
      <c r="BJ477" t="s">
        <v>5859</v>
      </c>
      <c r="BK477" t="s">
        <v>2189</v>
      </c>
      <c r="BL477" t="s">
        <v>5859</v>
      </c>
      <c r="BM477" t="s">
        <v>5860</v>
      </c>
      <c r="BN477" t="s">
        <v>74</v>
      </c>
      <c r="BO477" t="s">
        <v>74</v>
      </c>
      <c r="BP477" t="s">
        <v>74</v>
      </c>
      <c r="BQ477" t="s">
        <v>74</v>
      </c>
      <c r="BR477" t="s">
        <v>101</v>
      </c>
      <c r="BS477" t="s">
        <v>5861</v>
      </c>
      <c r="BT477" t="str">
        <f>HYPERLINK("https%3A%2F%2Fwww.webofscience.com%2Fwos%2Fwoscc%2Ffull-record%2FWOS:000074896700045","View Full Record in Web of Science")</f>
        <v>View Full Record in Web of Science</v>
      </c>
    </row>
    <row r="478" spans="1:72" x14ac:dyDescent="0.15">
      <c r="A478" t="s">
        <v>72</v>
      </c>
      <c r="B478" t="s">
        <v>5862</v>
      </c>
      <c r="C478" t="s">
        <v>74</v>
      </c>
      <c r="D478" t="s">
        <v>74</v>
      </c>
      <c r="E478" t="s">
        <v>74</v>
      </c>
      <c r="F478" t="s">
        <v>5862</v>
      </c>
      <c r="G478" t="s">
        <v>74</v>
      </c>
      <c r="H478" t="s">
        <v>74</v>
      </c>
      <c r="I478" t="s">
        <v>5863</v>
      </c>
      <c r="J478" t="s">
        <v>5864</v>
      </c>
      <c r="K478" t="s">
        <v>74</v>
      </c>
      <c r="L478" t="s">
        <v>74</v>
      </c>
      <c r="M478" t="s">
        <v>77</v>
      </c>
      <c r="N478" t="s">
        <v>78</v>
      </c>
      <c r="O478" t="s">
        <v>74</v>
      </c>
      <c r="P478" t="s">
        <v>74</v>
      </c>
      <c r="Q478" t="s">
        <v>74</v>
      </c>
      <c r="R478" t="s">
        <v>74</v>
      </c>
      <c r="S478" t="s">
        <v>74</v>
      </c>
      <c r="T478" t="s">
        <v>74</v>
      </c>
      <c r="U478" t="s">
        <v>5865</v>
      </c>
      <c r="V478" t="s">
        <v>5866</v>
      </c>
      <c r="W478" t="s">
        <v>758</v>
      </c>
      <c r="X478" t="s">
        <v>322</v>
      </c>
      <c r="Y478" t="s">
        <v>5867</v>
      </c>
      <c r="Z478" t="s">
        <v>74</v>
      </c>
      <c r="AA478" t="s">
        <v>74</v>
      </c>
      <c r="AB478" t="s">
        <v>74</v>
      </c>
      <c r="AC478" t="s">
        <v>74</v>
      </c>
      <c r="AD478" t="s">
        <v>74</v>
      </c>
      <c r="AE478" t="s">
        <v>74</v>
      </c>
      <c r="AF478" t="s">
        <v>74</v>
      </c>
      <c r="AG478">
        <v>54</v>
      </c>
      <c r="AH478">
        <v>30</v>
      </c>
      <c r="AI478">
        <v>35</v>
      </c>
      <c r="AJ478">
        <v>0</v>
      </c>
      <c r="AK478">
        <v>1</v>
      </c>
      <c r="AL478" t="s">
        <v>5868</v>
      </c>
      <c r="AM478" t="s">
        <v>2648</v>
      </c>
      <c r="AN478" t="s">
        <v>5869</v>
      </c>
      <c r="AO478" t="s">
        <v>5870</v>
      </c>
      <c r="AP478" t="s">
        <v>74</v>
      </c>
      <c r="AQ478" t="s">
        <v>74</v>
      </c>
      <c r="AR478" t="s">
        <v>5871</v>
      </c>
      <c r="AS478" t="s">
        <v>5872</v>
      </c>
      <c r="AT478" t="s">
        <v>74</v>
      </c>
      <c r="AU478">
        <v>1998</v>
      </c>
      <c r="AV478">
        <v>36</v>
      </c>
      <c r="AW478" t="s">
        <v>1508</v>
      </c>
      <c r="AX478" t="s">
        <v>74</v>
      </c>
      <c r="AY478" t="s">
        <v>74</v>
      </c>
      <c r="AZ478" t="s">
        <v>74</v>
      </c>
      <c r="BA478" t="s">
        <v>74</v>
      </c>
      <c r="BB478">
        <v>63</v>
      </c>
      <c r="BC478">
        <v>76</v>
      </c>
      <c r="BD478" t="s">
        <v>74</v>
      </c>
      <c r="BE478" t="s">
        <v>74</v>
      </c>
      <c r="BF478" t="s">
        <v>74</v>
      </c>
      <c r="BG478" t="s">
        <v>74</v>
      </c>
      <c r="BH478" t="s">
        <v>74</v>
      </c>
      <c r="BI478">
        <v>14</v>
      </c>
      <c r="BJ478" t="s">
        <v>471</v>
      </c>
      <c r="BK478" t="s">
        <v>98</v>
      </c>
      <c r="BL478" t="s">
        <v>471</v>
      </c>
      <c r="BM478" t="s">
        <v>5873</v>
      </c>
      <c r="BN478" t="s">
        <v>74</v>
      </c>
      <c r="BO478" t="s">
        <v>74</v>
      </c>
      <c r="BP478" t="s">
        <v>74</v>
      </c>
      <c r="BQ478" t="s">
        <v>74</v>
      </c>
      <c r="BR478" t="s">
        <v>101</v>
      </c>
      <c r="BS478" t="s">
        <v>5874</v>
      </c>
      <c r="BT478" t="str">
        <f>HYPERLINK("https%3A%2F%2Fwww.webofscience.com%2Fwos%2Fwoscc%2Ffull-record%2FWOS:000075588000001","View Full Record in Web of Science")</f>
        <v>View Full Record in Web of Science</v>
      </c>
    </row>
    <row r="479" spans="1:72" x14ac:dyDescent="0.15">
      <c r="A479" t="s">
        <v>72</v>
      </c>
      <c r="B479" t="s">
        <v>5875</v>
      </c>
      <c r="C479" t="s">
        <v>74</v>
      </c>
      <c r="D479" t="s">
        <v>74</v>
      </c>
      <c r="E479" t="s">
        <v>74</v>
      </c>
      <c r="F479" t="s">
        <v>5875</v>
      </c>
      <c r="G479" t="s">
        <v>74</v>
      </c>
      <c r="H479" t="s">
        <v>74</v>
      </c>
      <c r="I479" t="s">
        <v>5876</v>
      </c>
      <c r="J479" t="s">
        <v>5877</v>
      </c>
      <c r="K479" t="s">
        <v>74</v>
      </c>
      <c r="L479" t="s">
        <v>74</v>
      </c>
      <c r="M479" t="s">
        <v>5878</v>
      </c>
      <c r="N479" t="s">
        <v>78</v>
      </c>
      <c r="O479" t="s">
        <v>74</v>
      </c>
      <c r="P479" t="s">
        <v>74</v>
      </c>
      <c r="Q479" t="s">
        <v>74</v>
      </c>
      <c r="R479" t="s">
        <v>74</v>
      </c>
      <c r="S479" t="s">
        <v>74</v>
      </c>
      <c r="T479" t="s">
        <v>74</v>
      </c>
      <c r="U479" t="s">
        <v>5879</v>
      </c>
      <c r="V479" t="s">
        <v>5880</v>
      </c>
      <c r="W479" t="s">
        <v>5881</v>
      </c>
      <c r="X479" t="s">
        <v>5882</v>
      </c>
      <c r="Y479" t="s">
        <v>5883</v>
      </c>
      <c r="Z479" t="s">
        <v>74</v>
      </c>
      <c r="AA479" t="s">
        <v>5884</v>
      </c>
      <c r="AB479" t="s">
        <v>5885</v>
      </c>
      <c r="AC479" t="s">
        <v>74</v>
      </c>
      <c r="AD479" t="s">
        <v>74</v>
      </c>
      <c r="AE479" t="s">
        <v>74</v>
      </c>
      <c r="AF479" t="s">
        <v>74</v>
      </c>
      <c r="AG479">
        <v>33</v>
      </c>
      <c r="AH479">
        <v>2</v>
      </c>
      <c r="AI479">
        <v>2</v>
      </c>
      <c r="AJ479">
        <v>0</v>
      </c>
      <c r="AK479">
        <v>8</v>
      </c>
      <c r="AL479" t="s">
        <v>5886</v>
      </c>
      <c r="AM479" t="s">
        <v>4216</v>
      </c>
      <c r="AN479" t="s">
        <v>5887</v>
      </c>
      <c r="AO479" t="s">
        <v>5888</v>
      </c>
      <c r="AP479" t="s">
        <v>74</v>
      </c>
      <c r="AQ479" t="s">
        <v>74</v>
      </c>
      <c r="AR479" t="s">
        <v>5889</v>
      </c>
      <c r="AS479" t="s">
        <v>5890</v>
      </c>
      <c r="AT479" t="s">
        <v>2502</v>
      </c>
      <c r="AU479">
        <v>1998</v>
      </c>
      <c r="AV479">
        <v>64</v>
      </c>
      <c r="AW479">
        <v>1</v>
      </c>
      <c r="AX479" t="s">
        <v>74</v>
      </c>
      <c r="AY479" t="s">
        <v>74</v>
      </c>
      <c r="AZ479" t="s">
        <v>74</v>
      </c>
      <c r="BA479" t="s">
        <v>74</v>
      </c>
      <c r="BB479">
        <v>105</v>
      </c>
      <c r="BC479">
        <v>109</v>
      </c>
      <c r="BD479" t="s">
        <v>74</v>
      </c>
      <c r="BE479" t="s">
        <v>74</v>
      </c>
      <c r="BF479" t="s">
        <v>74</v>
      </c>
      <c r="BG479" t="s">
        <v>74</v>
      </c>
      <c r="BH479" t="s">
        <v>74</v>
      </c>
      <c r="BI479">
        <v>5</v>
      </c>
      <c r="BJ479" t="s">
        <v>5891</v>
      </c>
      <c r="BK479" t="s">
        <v>98</v>
      </c>
      <c r="BL479" t="s">
        <v>5891</v>
      </c>
      <c r="BM479" t="s">
        <v>5892</v>
      </c>
      <c r="BN479" t="s">
        <v>74</v>
      </c>
      <c r="BO479" t="s">
        <v>74</v>
      </c>
      <c r="BP479" t="s">
        <v>74</v>
      </c>
      <c r="BQ479" t="s">
        <v>74</v>
      </c>
      <c r="BR479" t="s">
        <v>101</v>
      </c>
      <c r="BS479" t="s">
        <v>5893</v>
      </c>
      <c r="BT479" t="str">
        <f>HYPERLINK("https%3A%2F%2Fwww.webofscience.com%2Fwos%2Fwoscc%2Ffull-record%2FWOS:000084120100014","View Full Record in Web of Science")</f>
        <v>View Full Record in Web of Science</v>
      </c>
    </row>
    <row r="480" spans="1:72" x14ac:dyDescent="0.15">
      <c r="A480" t="s">
        <v>72</v>
      </c>
      <c r="B480" t="s">
        <v>5894</v>
      </c>
      <c r="C480" t="s">
        <v>74</v>
      </c>
      <c r="D480" t="s">
        <v>74</v>
      </c>
      <c r="E480" t="s">
        <v>74</v>
      </c>
      <c r="F480" t="s">
        <v>5894</v>
      </c>
      <c r="G480" t="s">
        <v>74</v>
      </c>
      <c r="H480" t="s">
        <v>74</v>
      </c>
      <c r="I480" t="s">
        <v>5895</v>
      </c>
      <c r="J480" t="s">
        <v>5896</v>
      </c>
      <c r="K480" t="s">
        <v>74</v>
      </c>
      <c r="L480" t="s">
        <v>74</v>
      </c>
      <c r="M480" t="s">
        <v>77</v>
      </c>
      <c r="N480" t="s">
        <v>78</v>
      </c>
      <c r="O480" t="s">
        <v>74</v>
      </c>
      <c r="P480" t="s">
        <v>74</v>
      </c>
      <c r="Q480" t="s">
        <v>74</v>
      </c>
      <c r="R480" t="s">
        <v>74</v>
      </c>
      <c r="S480" t="s">
        <v>74</v>
      </c>
      <c r="T480" t="s">
        <v>5897</v>
      </c>
      <c r="U480" t="s">
        <v>5898</v>
      </c>
      <c r="V480" t="s">
        <v>5899</v>
      </c>
      <c r="W480" t="s">
        <v>5900</v>
      </c>
      <c r="X480" t="s">
        <v>5901</v>
      </c>
      <c r="Y480" t="s">
        <v>5902</v>
      </c>
      <c r="Z480" t="s">
        <v>74</v>
      </c>
      <c r="AA480" t="s">
        <v>5903</v>
      </c>
      <c r="AB480" t="s">
        <v>5904</v>
      </c>
      <c r="AC480" t="s">
        <v>74</v>
      </c>
      <c r="AD480" t="s">
        <v>74</v>
      </c>
      <c r="AE480" t="s">
        <v>74</v>
      </c>
      <c r="AF480" t="s">
        <v>74</v>
      </c>
      <c r="AG480">
        <v>28</v>
      </c>
      <c r="AH480">
        <v>9</v>
      </c>
      <c r="AI480">
        <v>10</v>
      </c>
      <c r="AJ480">
        <v>0</v>
      </c>
      <c r="AK480">
        <v>2</v>
      </c>
      <c r="AL480" t="s">
        <v>5868</v>
      </c>
      <c r="AM480" t="s">
        <v>2648</v>
      </c>
      <c r="AN480" t="s">
        <v>5869</v>
      </c>
      <c r="AO480" t="s">
        <v>5905</v>
      </c>
      <c r="AP480" t="s">
        <v>74</v>
      </c>
      <c r="AQ480" t="s">
        <v>74</v>
      </c>
      <c r="AR480" t="s">
        <v>5896</v>
      </c>
      <c r="AS480" t="s">
        <v>5906</v>
      </c>
      <c r="AT480" t="s">
        <v>74</v>
      </c>
      <c r="AU480">
        <v>1998</v>
      </c>
      <c r="AV480">
        <v>67</v>
      </c>
      <c r="AW480" t="s">
        <v>694</v>
      </c>
      <c r="AX480" t="s">
        <v>74</v>
      </c>
      <c r="AY480" t="s">
        <v>74</v>
      </c>
      <c r="AZ480" t="s">
        <v>74</v>
      </c>
      <c r="BA480" t="s">
        <v>74</v>
      </c>
      <c r="BB480">
        <v>279</v>
      </c>
      <c r="BC480">
        <v>288</v>
      </c>
      <c r="BD480" t="s">
        <v>74</v>
      </c>
      <c r="BE480" t="s">
        <v>74</v>
      </c>
      <c r="BF480" t="s">
        <v>74</v>
      </c>
      <c r="BG480" t="s">
        <v>74</v>
      </c>
      <c r="BH480" t="s">
        <v>74</v>
      </c>
      <c r="BI480">
        <v>10</v>
      </c>
      <c r="BJ480" t="s">
        <v>2721</v>
      </c>
      <c r="BK480" t="s">
        <v>98</v>
      </c>
      <c r="BL480" t="s">
        <v>2721</v>
      </c>
      <c r="BM480" t="s">
        <v>5907</v>
      </c>
      <c r="BN480" t="s">
        <v>74</v>
      </c>
      <c r="BO480" t="s">
        <v>74</v>
      </c>
      <c r="BP480" t="s">
        <v>74</v>
      </c>
      <c r="BQ480" t="s">
        <v>74</v>
      </c>
      <c r="BR480" t="s">
        <v>101</v>
      </c>
      <c r="BS480" t="s">
        <v>5908</v>
      </c>
      <c r="BT480" t="str">
        <f>HYPERLINK("https%3A%2F%2Fwww.webofscience.com%2Fwos%2Fwoscc%2Ffull-record%2FWOS:000077799200001","View Full Record in Web of Science")</f>
        <v>View Full Record in Web of Science</v>
      </c>
    </row>
    <row r="481" spans="1:72" x14ac:dyDescent="0.15">
      <c r="A481" t="s">
        <v>72</v>
      </c>
      <c r="B481" t="s">
        <v>5909</v>
      </c>
      <c r="C481" t="s">
        <v>74</v>
      </c>
      <c r="D481" t="s">
        <v>74</v>
      </c>
      <c r="E481" t="s">
        <v>74</v>
      </c>
      <c r="F481" t="s">
        <v>5909</v>
      </c>
      <c r="G481" t="s">
        <v>74</v>
      </c>
      <c r="H481" t="s">
        <v>74</v>
      </c>
      <c r="I481" t="s">
        <v>5910</v>
      </c>
      <c r="J481" t="s">
        <v>5896</v>
      </c>
      <c r="K481" t="s">
        <v>74</v>
      </c>
      <c r="L481" t="s">
        <v>74</v>
      </c>
      <c r="M481" t="s">
        <v>77</v>
      </c>
      <c r="N481" t="s">
        <v>78</v>
      </c>
      <c r="O481" t="s">
        <v>74</v>
      </c>
      <c r="P481" t="s">
        <v>74</v>
      </c>
      <c r="Q481" t="s">
        <v>74</v>
      </c>
      <c r="R481" t="s">
        <v>74</v>
      </c>
      <c r="S481" t="s">
        <v>74</v>
      </c>
      <c r="T481" t="s">
        <v>74</v>
      </c>
      <c r="U481" t="s">
        <v>5911</v>
      </c>
      <c r="V481" t="s">
        <v>5912</v>
      </c>
      <c r="W481" t="s">
        <v>5913</v>
      </c>
      <c r="X481" t="s">
        <v>5914</v>
      </c>
      <c r="Y481" t="s">
        <v>5915</v>
      </c>
      <c r="Z481" t="s">
        <v>74</v>
      </c>
      <c r="AA481" t="s">
        <v>74</v>
      </c>
      <c r="AB481" t="s">
        <v>5916</v>
      </c>
      <c r="AC481" t="s">
        <v>74</v>
      </c>
      <c r="AD481" t="s">
        <v>74</v>
      </c>
      <c r="AE481" t="s">
        <v>74</v>
      </c>
      <c r="AF481" t="s">
        <v>74</v>
      </c>
      <c r="AG481">
        <v>11</v>
      </c>
      <c r="AH481">
        <v>2</v>
      </c>
      <c r="AI481">
        <v>2</v>
      </c>
      <c r="AJ481">
        <v>0</v>
      </c>
      <c r="AK481">
        <v>2</v>
      </c>
      <c r="AL481" t="s">
        <v>5868</v>
      </c>
      <c r="AM481" t="s">
        <v>2648</v>
      </c>
      <c r="AN481" t="s">
        <v>5869</v>
      </c>
      <c r="AO481" t="s">
        <v>5905</v>
      </c>
      <c r="AP481" t="s">
        <v>74</v>
      </c>
      <c r="AQ481" t="s">
        <v>74</v>
      </c>
      <c r="AR481" t="s">
        <v>5896</v>
      </c>
      <c r="AS481" t="s">
        <v>5906</v>
      </c>
      <c r="AT481" t="s">
        <v>74</v>
      </c>
      <c r="AU481">
        <v>1998</v>
      </c>
      <c r="AV481">
        <v>67</v>
      </c>
      <c r="AW481" t="s">
        <v>694</v>
      </c>
      <c r="AX481" t="s">
        <v>74</v>
      </c>
      <c r="AY481" t="s">
        <v>74</v>
      </c>
      <c r="AZ481" t="s">
        <v>74</v>
      </c>
      <c r="BA481" t="s">
        <v>74</v>
      </c>
      <c r="BB481">
        <v>469</v>
      </c>
      <c r="BC481">
        <v>480</v>
      </c>
      <c r="BD481" t="s">
        <v>74</v>
      </c>
      <c r="BE481" t="s">
        <v>74</v>
      </c>
      <c r="BF481" t="s">
        <v>74</v>
      </c>
      <c r="BG481" t="s">
        <v>74</v>
      </c>
      <c r="BH481" t="s">
        <v>74</v>
      </c>
      <c r="BI481">
        <v>12</v>
      </c>
      <c r="BJ481" t="s">
        <v>2721</v>
      </c>
      <c r="BK481" t="s">
        <v>98</v>
      </c>
      <c r="BL481" t="s">
        <v>2721</v>
      </c>
      <c r="BM481" t="s">
        <v>5907</v>
      </c>
      <c r="BN481" t="s">
        <v>74</v>
      </c>
      <c r="BO481" t="s">
        <v>74</v>
      </c>
      <c r="BP481" t="s">
        <v>74</v>
      </c>
      <c r="BQ481" t="s">
        <v>74</v>
      </c>
      <c r="BR481" t="s">
        <v>101</v>
      </c>
      <c r="BS481" t="s">
        <v>5917</v>
      </c>
      <c r="BT481" t="str">
        <f>HYPERLINK("https%3A%2F%2Fwww.webofscience.com%2Fwos%2Fwoscc%2Ffull-record%2FWOS:000077799200011","View Full Record in Web of Science")</f>
        <v>View Full Record in Web of Science</v>
      </c>
    </row>
    <row r="482" spans="1:72" x14ac:dyDescent="0.15">
      <c r="A482" t="s">
        <v>72</v>
      </c>
      <c r="B482" t="s">
        <v>5918</v>
      </c>
      <c r="C482" t="s">
        <v>74</v>
      </c>
      <c r="D482" t="s">
        <v>74</v>
      </c>
      <c r="E482" t="s">
        <v>74</v>
      </c>
      <c r="F482" t="s">
        <v>5918</v>
      </c>
      <c r="G482" t="s">
        <v>74</v>
      </c>
      <c r="H482" t="s">
        <v>74</v>
      </c>
      <c r="I482" t="s">
        <v>5919</v>
      </c>
      <c r="J482" t="s">
        <v>5920</v>
      </c>
      <c r="K482" t="s">
        <v>74</v>
      </c>
      <c r="L482" t="s">
        <v>74</v>
      </c>
      <c r="M482" t="s">
        <v>2735</v>
      </c>
      <c r="N482" t="s">
        <v>78</v>
      </c>
      <c r="O482" t="s">
        <v>74</v>
      </c>
      <c r="P482" t="s">
        <v>74</v>
      </c>
      <c r="Q482" t="s">
        <v>74</v>
      </c>
      <c r="R482" t="s">
        <v>74</v>
      </c>
      <c r="S482" t="s">
        <v>74</v>
      </c>
      <c r="T482" t="s">
        <v>74</v>
      </c>
      <c r="U482" t="s">
        <v>5921</v>
      </c>
      <c r="V482" t="s">
        <v>5922</v>
      </c>
      <c r="W482" t="s">
        <v>5923</v>
      </c>
      <c r="X482" t="s">
        <v>5924</v>
      </c>
      <c r="Y482" t="s">
        <v>5925</v>
      </c>
      <c r="Z482" t="s">
        <v>74</v>
      </c>
      <c r="AA482" t="s">
        <v>74</v>
      </c>
      <c r="AB482" t="s">
        <v>5926</v>
      </c>
      <c r="AC482" t="s">
        <v>74</v>
      </c>
      <c r="AD482" t="s">
        <v>74</v>
      </c>
      <c r="AE482" t="s">
        <v>74</v>
      </c>
      <c r="AF482" t="s">
        <v>74</v>
      </c>
      <c r="AG482">
        <v>43</v>
      </c>
      <c r="AH482">
        <v>3</v>
      </c>
      <c r="AI482">
        <v>3</v>
      </c>
      <c r="AJ482">
        <v>0</v>
      </c>
      <c r="AK482">
        <v>5</v>
      </c>
      <c r="AL482" t="s">
        <v>5927</v>
      </c>
      <c r="AM482" t="s">
        <v>4328</v>
      </c>
      <c r="AN482" t="s">
        <v>5928</v>
      </c>
      <c r="AO482" t="s">
        <v>5929</v>
      </c>
      <c r="AP482" t="s">
        <v>74</v>
      </c>
      <c r="AQ482" t="s">
        <v>74</v>
      </c>
      <c r="AR482" t="s">
        <v>5930</v>
      </c>
      <c r="AS482" t="s">
        <v>5931</v>
      </c>
      <c r="AT482" t="s">
        <v>4291</v>
      </c>
      <c r="AU482">
        <v>1998</v>
      </c>
      <c r="AV482">
        <v>21</v>
      </c>
      <c r="AW482">
        <v>1</v>
      </c>
      <c r="AX482" t="s">
        <v>74</v>
      </c>
      <c r="AY482" t="s">
        <v>74</v>
      </c>
      <c r="AZ482" t="s">
        <v>74</v>
      </c>
      <c r="BA482" t="s">
        <v>74</v>
      </c>
      <c r="BB482">
        <v>21</v>
      </c>
      <c r="BC482">
        <v>31</v>
      </c>
      <c r="BD482" t="s">
        <v>74</v>
      </c>
      <c r="BE482" t="s">
        <v>5932</v>
      </c>
      <c r="BF482" t="str">
        <f>HYPERLINK("http://dx.doi.org/10.1016/S0399-1784(98)80046-7","http://dx.doi.org/10.1016/S0399-1784(98)80046-7")</f>
        <v>http://dx.doi.org/10.1016/S0399-1784(98)80046-7</v>
      </c>
      <c r="BG482" t="s">
        <v>74</v>
      </c>
      <c r="BH482" t="s">
        <v>74</v>
      </c>
      <c r="BI482">
        <v>11</v>
      </c>
      <c r="BJ482" t="s">
        <v>97</v>
      </c>
      <c r="BK482" t="s">
        <v>98</v>
      </c>
      <c r="BL482" t="s">
        <v>97</v>
      </c>
      <c r="BM482" t="s">
        <v>5933</v>
      </c>
      <c r="BN482" t="s">
        <v>74</v>
      </c>
      <c r="BO482" t="s">
        <v>1351</v>
      </c>
      <c r="BP482" t="s">
        <v>74</v>
      </c>
      <c r="BQ482" t="s">
        <v>74</v>
      </c>
      <c r="BR482" t="s">
        <v>101</v>
      </c>
      <c r="BS482" t="s">
        <v>5934</v>
      </c>
      <c r="BT482" t="str">
        <f>HYPERLINK("https%3A%2F%2Fwww.webofscience.com%2Fwos%2Fwoscc%2Ffull-record%2FWOS:000072872400002","View Full Record in Web of Science")</f>
        <v>View Full Record in Web of Science</v>
      </c>
    </row>
    <row r="483" spans="1:72" x14ac:dyDescent="0.15">
      <c r="A483" t="s">
        <v>2175</v>
      </c>
      <c r="B483" t="s">
        <v>5935</v>
      </c>
      <c r="C483" t="s">
        <v>74</v>
      </c>
      <c r="D483" t="s">
        <v>74</v>
      </c>
      <c r="E483" t="s">
        <v>5936</v>
      </c>
      <c r="F483" t="s">
        <v>5935</v>
      </c>
      <c r="G483" t="s">
        <v>74</v>
      </c>
      <c r="H483" t="s">
        <v>74</v>
      </c>
      <c r="I483" t="s">
        <v>5937</v>
      </c>
      <c r="J483" t="s">
        <v>5938</v>
      </c>
      <c r="K483" t="s">
        <v>74</v>
      </c>
      <c r="L483" t="s">
        <v>74</v>
      </c>
      <c r="M483" t="s">
        <v>77</v>
      </c>
      <c r="N483" t="s">
        <v>2180</v>
      </c>
      <c r="O483" t="s">
        <v>5939</v>
      </c>
      <c r="P483" t="s">
        <v>5940</v>
      </c>
      <c r="Q483" t="s">
        <v>5941</v>
      </c>
      <c r="R483" t="s">
        <v>74</v>
      </c>
      <c r="S483" t="s">
        <v>74</v>
      </c>
      <c r="T483" t="s">
        <v>74</v>
      </c>
      <c r="U483" t="s">
        <v>74</v>
      </c>
      <c r="V483" t="s">
        <v>5942</v>
      </c>
      <c r="W483" t="s">
        <v>5943</v>
      </c>
      <c r="X483" t="s">
        <v>5944</v>
      </c>
      <c r="Y483" t="s">
        <v>5945</v>
      </c>
      <c r="Z483" t="s">
        <v>74</v>
      </c>
      <c r="AA483" t="s">
        <v>74</v>
      </c>
      <c r="AB483" t="s">
        <v>74</v>
      </c>
      <c r="AC483" t="s">
        <v>74</v>
      </c>
      <c r="AD483" t="s">
        <v>74</v>
      </c>
      <c r="AE483" t="s">
        <v>74</v>
      </c>
      <c r="AF483" t="s">
        <v>74</v>
      </c>
      <c r="AG483">
        <v>3</v>
      </c>
      <c r="AH483">
        <v>4</v>
      </c>
      <c r="AI483">
        <v>4</v>
      </c>
      <c r="AJ483">
        <v>0</v>
      </c>
      <c r="AK483">
        <v>0</v>
      </c>
      <c r="AL483" t="s">
        <v>2177</v>
      </c>
      <c r="AM483" t="s">
        <v>244</v>
      </c>
      <c r="AN483" t="s">
        <v>2186</v>
      </c>
      <c r="AO483" t="s">
        <v>74</v>
      </c>
      <c r="AP483" t="s">
        <v>74</v>
      </c>
      <c r="AQ483" t="s">
        <v>5946</v>
      </c>
      <c r="AR483" t="s">
        <v>74</v>
      </c>
      <c r="AS483" t="s">
        <v>74</v>
      </c>
      <c r="AT483" t="s">
        <v>74</v>
      </c>
      <c r="AU483">
        <v>1998</v>
      </c>
      <c r="AV483" t="s">
        <v>74</v>
      </c>
      <c r="AW483" t="s">
        <v>74</v>
      </c>
      <c r="AX483" t="s">
        <v>74</v>
      </c>
      <c r="AY483" t="s">
        <v>74</v>
      </c>
      <c r="AZ483" t="s">
        <v>74</v>
      </c>
      <c r="BA483" t="s">
        <v>74</v>
      </c>
      <c r="BB483">
        <v>405</v>
      </c>
      <c r="BC483">
        <v>408</v>
      </c>
      <c r="BD483" t="s">
        <v>74</v>
      </c>
      <c r="BE483" t="s">
        <v>74</v>
      </c>
      <c r="BF483" t="s">
        <v>74</v>
      </c>
      <c r="BG483" t="s">
        <v>74</v>
      </c>
      <c r="BH483" t="s">
        <v>74</v>
      </c>
      <c r="BI483">
        <v>4</v>
      </c>
      <c r="BJ483" t="s">
        <v>5947</v>
      </c>
      <c r="BK483" t="s">
        <v>2189</v>
      </c>
      <c r="BL483" t="s">
        <v>5948</v>
      </c>
      <c r="BM483" t="s">
        <v>5949</v>
      </c>
      <c r="BN483" t="s">
        <v>74</v>
      </c>
      <c r="BO483" t="s">
        <v>74</v>
      </c>
      <c r="BP483" t="s">
        <v>74</v>
      </c>
      <c r="BQ483" t="s">
        <v>74</v>
      </c>
      <c r="BR483" t="s">
        <v>101</v>
      </c>
      <c r="BS483" t="s">
        <v>5950</v>
      </c>
      <c r="BT483" t="str">
        <f>HYPERLINK("https%3A%2F%2Fwww.webofscience.com%2Fwos%2Fwoscc%2Ffull-record%2FWOS:000078340800083","View Full Record in Web of Science")</f>
        <v>View Full Record in Web of Science</v>
      </c>
    </row>
    <row r="484" spans="1:72" x14ac:dyDescent="0.15">
      <c r="A484" t="s">
        <v>2175</v>
      </c>
      <c r="B484" t="s">
        <v>5951</v>
      </c>
      <c r="C484" t="s">
        <v>74</v>
      </c>
      <c r="D484" t="s">
        <v>74</v>
      </c>
      <c r="E484" t="s">
        <v>5936</v>
      </c>
      <c r="F484" t="s">
        <v>5951</v>
      </c>
      <c r="G484" t="s">
        <v>74</v>
      </c>
      <c r="H484" t="s">
        <v>74</v>
      </c>
      <c r="I484" t="s">
        <v>5952</v>
      </c>
      <c r="J484" t="s">
        <v>5938</v>
      </c>
      <c r="K484" t="s">
        <v>74</v>
      </c>
      <c r="L484" t="s">
        <v>74</v>
      </c>
      <c r="M484" t="s">
        <v>77</v>
      </c>
      <c r="N484" t="s">
        <v>2180</v>
      </c>
      <c r="O484" t="s">
        <v>5939</v>
      </c>
      <c r="P484" t="s">
        <v>5940</v>
      </c>
      <c r="Q484" t="s">
        <v>5941</v>
      </c>
      <c r="R484" t="s">
        <v>74</v>
      </c>
      <c r="S484" t="s">
        <v>74</v>
      </c>
      <c r="T484" t="s">
        <v>74</v>
      </c>
      <c r="U484" t="s">
        <v>74</v>
      </c>
      <c r="V484" t="s">
        <v>5953</v>
      </c>
      <c r="W484" t="s">
        <v>5954</v>
      </c>
      <c r="X484" t="s">
        <v>2221</v>
      </c>
      <c r="Y484" t="s">
        <v>5955</v>
      </c>
      <c r="Z484" t="s">
        <v>5956</v>
      </c>
      <c r="AA484" t="s">
        <v>5957</v>
      </c>
      <c r="AB484" t="s">
        <v>5958</v>
      </c>
      <c r="AC484" t="s">
        <v>74</v>
      </c>
      <c r="AD484" t="s">
        <v>74</v>
      </c>
      <c r="AE484" t="s">
        <v>74</v>
      </c>
      <c r="AF484" t="s">
        <v>74</v>
      </c>
      <c r="AG484">
        <v>6</v>
      </c>
      <c r="AH484">
        <v>0</v>
      </c>
      <c r="AI484">
        <v>0</v>
      </c>
      <c r="AJ484">
        <v>1</v>
      </c>
      <c r="AK484">
        <v>1</v>
      </c>
      <c r="AL484" t="s">
        <v>2177</v>
      </c>
      <c r="AM484" t="s">
        <v>244</v>
      </c>
      <c r="AN484" t="s">
        <v>2186</v>
      </c>
      <c r="AO484" t="s">
        <v>74</v>
      </c>
      <c r="AP484" t="s">
        <v>74</v>
      </c>
      <c r="AQ484" t="s">
        <v>5946</v>
      </c>
      <c r="AR484" t="s">
        <v>74</v>
      </c>
      <c r="AS484" t="s">
        <v>74</v>
      </c>
      <c r="AT484" t="s">
        <v>74</v>
      </c>
      <c r="AU484">
        <v>1998</v>
      </c>
      <c r="AV484" t="s">
        <v>74</v>
      </c>
      <c r="AW484" t="s">
        <v>74</v>
      </c>
      <c r="AX484" t="s">
        <v>74</v>
      </c>
      <c r="AY484" t="s">
        <v>74</v>
      </c>
      <c r="AZ484" t="s">
        <v>74</v>
      </c>
      <c r="BA484" t="s">
        <v>74</v>
      </c>
      <c r="BB484">
        <v>1568</v>
      </c>
      <c r="BC484">
        <v>1572</v>
      </c>
      <c r="BD484" t="s">
        <v>74</v>
      </c>
      <c r="BE484" t="s">
        <v>74</v>
      </c>
      <c r="BF484" t="s">
        <v>74</v>
      </c>
      <c r="BG484" t="s">
        <v>74</v>
      </c>
      <c r="BH484" t="s">
        <v>74</v>
      </c>
      <c r="BI484">
        <v>5</v>
      </c>
      <c r="BJ484" t="s">
        <v>5947</v>
      </c>
      <c r="BK484" t="s">
        <v>2189</v>
      </c>
      <c r="BL484" t="s">
        <v>5948</v>
      </c>
      <c r="BM484" t="s">
        <v>5949</v>
      </c>
      <c r="BN484" t="s">
        <v>74</v>
      </c>
      <c r="BO484" t="s">
        <v>74</v>
      </c>
      <c r="BP484" t="s">
        <v>74</v>
      </c>
      <c r="BQ484" t="s">
        <v>74</v>
      </c>
      <c r="BR484" t="s">
        <v>101</v>
      </c>
      <c r="BS484" t="s">
        <v>5959</v>
      </c>
      <c r="BT484" t="str">
        <f>HYPERLINK("https%3A%2F%2Fwww.webofscience.com%2Fwos%2Fwoscc%2Ffull-record%2FWOS:000078340800313","View Full Record in Web of Science")</f>
        <v>View Full Record in Web of Science</v>
      </c>
    </row>
    <row r="485" spans="1:72" x14ac:dyDescent="0.15">
      <c r="A485" t="s">
        <v>2175</v>
      </c>
      <c r="B485" t="s">
        <v>5960</v>
      </c>
      <c r="C485" t="s">
        <v>74</v>
      </c>
      <c r="D485" t="s">
        <v>5961</v>
      </c>
      <c r="E485" t="s">
        <v>74</v>
      </c>
      <c r="F485" t="s">
        <v>5960</v>
      </c>
      <c r="G485" t="s">
        <v>74</v>
      </c>
      <c r="H485" t="s">
        <v>74</v>
      </c>
      <c r="I485" t="s">
        <v>5962</v>
      </c>
      <c r="J485" t="s">
        <v>5963</v>
      </c>
      <c r="K485" t="s">
        <v>2562</v>
      </c>
      <c r="L485" t="s">
        <v>74</v>
      </c>
      <c r="M485" t="s">
        <v>77</v>
      </c>
      <c r="N485" t="s">
        <v>2180</v>
      </c>
      <c r="O485" t="s">
        <v>5964</v>
      </c>
      <c r="P485" t="s">
        <v>5965</v>
      </c>
      <c r="Q485" t="s">
        <v>5430</v>
      </c>
      <c r="R485" t="s">
        <v>74</v>
      </c>
      <c r="S485" t="s">
        <v>74</v>
      </c>
      <c r="T485" t="s">
        <v>5966</v>
      </c>
      <c r="U485" t="s">
        <v>74</v>
      </c>
      <c r="V485" t="s">
        <v>5967</v>
      </c>
      <c r="W485" t="s">
        <v>5968</v>
      </c>
      <c r="X485" t="s">
        <v>5969</v>
      </c>
      <c r="Y485" t="s">
        <v>5970</v>
      </c>
      <c r="Z485" t="s">
        <v>74</v>
      </c>
      <c r="AA485" t="s">
        <v>74</v>
      </c>
      <c r="AB485" t="s">
        <v>74</v>
      </c>
      <c r="AC485" t="s">
        <v>74</v>
      </c>
      <c r="AD485" t="s">
        <v>74</v>
      </c>
      <c r="AE485" t="s">
        <v>74</v>
      </c>
      <c r="AF485" t="s">
        <v>74</v>
      </c>
      <c r="AG485">
        <v>0</v>
      </c>
      <c r="AH485">
        <v>2</v>
      </c>
      <c r="AI485">
        <v>2</v>
      </c>
      <c r="AJ485">
        <v>0</v>
      </c>
      <c r="AK485">
        <v>0</v>
      </c>
      <c r="AL485" t="s">
        <v>2573</v>
      </c>
      <c r="AM485" t="s">
        <v>2574</v>
      </c>
      <c r="AN485" t="s">
        <v>2575</v>
      </c>
      <c r="AO485" t="s">
        <v>2576</v>
      </c>
      <c r="AP485" t="s">
        <v>74</v>
      </c>
      <c r="AQ485" t="s">
        <v>5971</v>
      </c>
      <c r="AR485" t="s">
        <v>2578</v>
      </c>
      <c r="AS485" t="s">
        <v>74</v>
      </c>
      <c r="AT485" t="s">
        <v>74</v>
      </c>
      <c r="AU485">
        <v>1998</v>
      </c>
      <c r="AV485">
        <v>3504</v>
      </c>
      <c r="AW485" t="s">
        <v>74</v>
      </c>
      <c r="AX485" t="s">
        <v>74</v>
      </c>
      <c r="AY485" t="s">
        <v>74</v>
      </c>
      <c r="AZ485" t="s">
        <v>74</v>
      </c>
      <c r="BA485" t="s">
        <v>74</v>
      </c>
      <c r="BB485">
        <v>275</v>
      </c>
      <c r="BC485">
        <v>282</v>
      </c>
      <c r="BD485" t="s">
        <v>74</v>
      </c>
      <c r="BE485" t="s">
        <v>5972</v>
      </c>
      <c r="BF485" t="str">
        <f>HYPERLINK("http://dx.doi.org/10.1117/12.319580","http://dx.doi.org/10.1117/12.319580")</f>
        <v>http://dx.doi.org/10.1117/12.319580</v>
      </c>
      <c r="BG485" t="s">
        <v>74</v>
      </c>
      <c r="BH485" t="s">
        <v>74</v>
      </c>
      <c r="BI485">
        <v>8</v>
      </c>
      <c r="BJ485" t="s">
        <v>5973</v>
      </c>
      <c r="BK485" t="s">
        <v>2189</v>
      </c>
      <c r="BL485" t="s">
        <v>5973</v>
      </c>
      <c r="BM485" t="s">
        <v>5974</v>
      </c>
      <c r="BN485" t="s">
        <v>74</v>
      </c>
      <c r="BO485" t="s">
        <v>74</v>
      </c>
      <c r="BP485" t="s">
        <v>74</v>
      </c>
      <c r="BQ485" t="s">
        <v>74</v>
      </c>
      <c r="BR485" t="s">
        <v>101</v>
      </c>
      <c r="BS485" t="s">
        <v>5975</v>
      </c>
      <c r="BT485" t="str">
        <f>HYPERLINK("https%3A%2F%2Fwww.webofscience.com%2Fwos%2Fwoscc%2Ffull-record%2FWOS:000076865900036","View Full Record in Web of Science")</f>
        <v>View Full Record in Web of Science</v>
      </c>
    </row>
    <row r="486" spans="1:72" x14ac:dyDescent="0.15">
      <c r="A486" t="s">
        <v>2175</v>
      </c>
      <c r="B486" t="s">
        <v>5976</v>
      </c>
      <c r="C486" t="s">
        <v>74</v>
      </c>
      <c r="D486" t="s">
        <v>5977</v>
      </c>
      <c r="E486" t="s">
        <v>74</v>
      </c>
      <c r="F486" t="s">
        <v>5976</v>
      </c>
      <c r="G486" t="s">
        <v>74</v>
      </c>
      <c r="H486" t="s">
        <v>74</v>
      </c>
      <c r="I486" t="s">
        <v>5978</v>
      </c>
      <c r="J486" t="s">
        <v>5979</v>
      </c>
      <c r="K486" t="s">
        <v>2562</v>
      </c>
      <c r="L486" t="s">
        <v>74</v>
      </c>
      <c r="M486" t="s">
        <v>77</v>
      </c>
      <c r="N486" t="s">
        <v>2180</v>
      </c>
      <c r="O486" t="s">
        <v>5980</v>
      </c>
      <c r="P486" t="s">
        <v>5965</v>
      </c>
      <c r="Q486" t="s">
        <v>5430</v>
      </c>
      <c r="R486" t="s">
        <v>74</v>
      </c>
      <c r="S486" t="s">
        <v>74</v>
      </c>
      <c r="T486" t="s">
        <v>5981</v>
      </c>
      <c r="U486" t="s">
        <v>74</v>
      </c>
      <c r="V486" t="s">
        <v>5982</v>
      </c>
      <c r="W486" t="s">
        <v>5983</v>
      </c>
      <c r="X486" t="s">
        <v>2221</v>
      </c>
      <c r="Y486" t="s">
        <v>5984</v>
      </c>
      <c r="Z486" t="s">
        <v>74</v>
      </c>
      <c r="AA486" t="s">
        <v>5985</v>
      </c>
      <c r="AB486" t="s">
        <v>5986</v>
      </c>
      <c r="AC486" t="s">
        <v>74</v>
      </c>
      <c r="AD486" t="s">
        <v>74</v>
      </c>
      <c r="AE486" t="s">
        <v>74</v>
      </c>
      <c r="AF486" t="s">
        <v>74</v>
      </c>
      <c r="AG486">
        <v>0</v>
      </c>
      <c r="AH486">
        <v>0</v>
      </c>
      <c r="AI486">
        <v>0</v>
      </c>
      <c r="AJ486">
        <v>0</v>
      </c>
      <c r="AK486">
        <v>1</v>
      </c>
      <c r="AL486" t="s">
        <v>2573</v>
      </c>
      <c r="AM486" t="s">
        <v>2574</v>
      </c>
      <c r="AN486" t="s">
        <v>2575</v>
      </c>
      <c r="AO486" t="s">
        <v>2576</v>
      </c>
      <c r="AP486" t="s">
        <v>74</v>
      </c>
      <c r="AQ486" t="s">
        <v>5987</v>
      </c>
      <c r="AR486" t="s">
        <v>2578</v>
      </c>
      <c r="AS486" t="s">
        <v>74</v>
      </c>
      <c r="AT486" t="s">
        <v>74</v>
      </c>
      <c r="AU486">
        <v>1998</v>
      </c>
      <c r="AV486">
        <v>3501</v>
      </c>
      <c r="AW486" t="s">
        <v>74</v>
      </c>
      <c r="AX486" t="s">
        <v>74</v>
      </c>
      <c r="AY486" t="s">
        <v>74</v>
      </c>
      <c r="AZ486" t="s">
        <v>74</v>
      </c>
      <c r="BA486" t="s">
        <v>74</v>
      </c>
      <c r="BB486">
        <v>383</v>
      </c>
      <c r="BC486">
        <v>388</v>
      </c>
      <c r="BD486" t="s">
        <v>74</v>
      </c>
      <c r="BE486" t="s">
        <v>5988</v>
      </c>
      <c r="BF486" t="str">
        <f>HYPERLINK("http://dx.doi.org/10.1117/12.317768","http://dx.doi.org/10.1117/12.317768")</f>
        <v>http://dx.doi.org/10.1117/12.317768</v>
      </c>
      <c r="BG486" t="s">
        <v>74</v>
      </c>
      <c r="BH486" t="s">
        <v>74</v>
      </c>
      <c r="BI486">
        <v>4</v>
      </c>
      <c r="BJ486" t="s">
        <v>5989</v>
      </c>
      <c r="BK486" t="s">
        <v>2189</v>
      </c>
      <c r="BL486" t="s">
        <v>5989</v>
      </c>
      <c r="BM486" t="s">
        <v>5990</v>
      </c>
      <c r="BN486" t="s">
        <v>74</v>
      </c>
      <c r="BO486" t="s">
        <v>74</v>
      </c>
      <c r="BP486" t="s">
        <v>74</v>
      </c>
      <c r="BQ486" t="s">
        <v>74</v>
      </c>
      <c r="BR486" t="s">
        <v>101</v>
      </c>
      <c r="BS486" t="s">
        <v>5991</v>
      </c>
      <c r="BT486" t="str">
        <f>HYPERLINK("https%3A%2F%2Fwww.webofscience.com%2Fwos%2Fwoscc%2Ffull-record%2FWOS:000076911000045","View Full Record in Web of Science")</f>
        <v>View Full Record in Web of Science</v>
      </c>
    </row>
    <row r="487" spans="1:72" x14ac:dyDescent="0.15">
      <c r="A487" t="s">
        <v>72</v>
      </c>
      <c r="B487" t="s">
        <v>5992</v>
      </c>
      <c r="C487" t="s">
        <v>74</v>
      </c>
      <c r="D487" t="s">
        <v>74</v>
      </c>
      <c r="E487" t="s">
        <v>74</v>
      </c>
      <c r="F487" t="s">
        <v>5992</v>
      </c>
      <c r="G487" t="s">
        <v>74</v>
      </c>
      <c r="H487" t="s">
        <v>74</v>
      </c>
      <c r="I487" t="s">
        <v>5993</v>
      </c>
      <c r="J487" t="s">
        <v>5994</v>
      </c>
      <c r="K487" t="s">
        <v>74</v>
      </c>
      <c r="L487" t="s">
        <v>74</v>
      </c>
      <c r="M487" t="s">
        <v>77</v>
      </c>
      <c r="N487" t="s">
        <v>78</v>
      </c>
      <c r="O487" t="s">
        <v>74</v>
      </c>
      <c r="P487" t="s">
        <v>74</v>
      </c>
      <c r="Q487" t="s">
        <v>74</v>
      </c>
      <c r="R487" t="s">
        <v>74</v>
      </c>
      <c r="S487" t="s">
        <v>74</v>
      </c>
      <c r="T487" t="s">
        <v>5995</v>
      </c>
      <c r="U487" t="s">
        <v>5996</v>
      </c>
      <c r="V487" t="s">
        <v>5997</v>
      </c>
      <c r="W487" t="s">
        <v>5998</v>
      </c>
      <c r="X487" t="s">
        <v>5999</v>
      </c>
      <c r="Y487" t="s">
        <v>6000</v>
      </c>
      <c r="Z487" t="s">
        <v>74</v>
      </c>
      <c r="AA487" t="s">
        <v>6001</v>
      </c>
      <c r="AB487" t="s">
        <v>6002</v>
      </c>
      <c r="AC487" t="s">
        <v>74</v>
      </c>
      <c r="AD487" t="s">
        <v>74</v>
      </c>
      <c r="AE487" t="s">
        <v>74</v>
      </c>
      <c r="AF487" t="s">
        <v>74</v>
      </c>
      <c r="AG487">
        <v>53</v>
      </c>
      <c r="AH487">
        <v>36</v>
      </c>
      <c r="AI487">
        <v>41</v>
      </c>
      <c r="AJ487">
        <v>1</v>
      </c>
      <c r="AK487">
        <v>12</v>
      </c>
      <c r="AL487" t="s">
        <v>451</v>
      </c>
      <c r="AM487" t="s">
        <v>214</v>
      </c>
      <c r="AN487" t="s">
        <v>452</v>
      </c>
      <c r="AO487" t="s">
        <v>6003</v>
      </c>
      <c r="AP487" t="s">
        <v>74</v>
      </c>
      <c r="AQ487" t="s">
        <v>74</v>
      </c>
      <c r="AR487" t="s">
        <v>6004</v>
      </c>
      <c r="AS487" t="s">
        <v>6005</v>
      </c>
      <c r="AT487" t="s">
        <v>74</v>
      </c>
      <c r="AU487">
        <v>1998</v>
      </c>
      <c r="AV487">
        <v>29</v>
      </c>
      <c r="AW487">
        <v>4</v>
      </c>
      <c r="AX487" t="s">
        <v>74</v>
      </c>
      <c r="AY487" t="s">
        <v>74</v>
      </c>
      <c r="AZ487" t="s">
        <v>74</v>
      </c>
      <c r="BA487" t="s">
        <v>74</v>
      </c>
      <c r="BB487">
        <v>963</v>
      </c>
      <c r="BC487">
        <v>977</v>
      </c>
      <c r="BD487" t="s">
        <v>74</v>
      </c>
      <c r="BE487" t="s">
        <v>6006</v>
      </c>
      <c r="BF487" t="str">
        <f>HYPERLINK("http://dx.doi.org/10.1016/S0146-6380(98)00049-7","http://dx.doi.org/10.1016/S0146-6380(98)00049-7")</f>
        <v>http://dx.doi.org/10.1016/S0146-6380(98)00049-7</v>
      </c>
      <c r="BG487" t="s">
        <v>74</v>
      </c>
      <c r="BH487" t="s">
        <v>74</v>
      </c>
      <c r="BI487">
        <v>15</v>
      </c>
      <c r="BJ487" t="s">
        <v>143</v>
      </c>
      <c r="BK487" t="s">
        <v>98</v>
      </c>
      <c r="BL487" t="s">
        <v>143</v>
      </c>
      <c r="BM487" t="s">
        <v>6007</v>
      </c>
      <c r="BN487" t="s">
        <v>74</v>
      </c>
      <c r="BO487" t="s">
        <v>74</v>
      </c>
      <c r="BP487" t="s">
        <v>74</v>
      </c>
      <c r="BQ487" t="s">
        <v>74</v>
      </c>
      <c r="BR487" t="s">
        <v>101</v>
      </c>
      <c r="BS487" t="s">
        <v>6008</v>
      </c>
      <c r="BT487" t="str">
        <f>HYPERLINK("https%3A%2F%2Fwww.webofscience.com%2Fwos%2Fwoscc%2Ffull-record%2FWOS:000077844100011","View Full Record in Web of Science")</f>
        <v>View Full Record in Web of Science</v>
      </c>
    </row>
    <row r="488" spans="1:72" x14ac:dyDescent="0.15">
      <c r="A488" t="s">
        <v>72</v>
      </c>
      <c r="B488" t="s">
        <v>6009</v>
      </c>
      <c r="C488" t="s">
        <v>74</v>
      </c>
      <c r="D488" t="s">
        <v>74</v>
      </c>
      <c r="E488" t="s">
        <v>74</v>
      </c>
      <c r="F488" t="s">
        <v>6009</v>
      </c>
      <c r="G488" t="s">
        <v>74</v>
      </c>
      <c r="H488" t="s">
        <v>74</v>
      </c>
      <c r="I488" t="s">
        <v>6010</v>
      </c>
      <c r="J488" t="s">
        <v>5994</v>
      </c>
      <c r="K488" t="s">
        <v>74</v>
      </c>
      <c r="L488" t="s">
        <v>74</v>
      </c>
      <c r="M488" t="s">
        <v>77</v>
      </c>
      <c r="N488" t="s">
        <v>379</v>
      </c>
      <c r="O488" t="s">
        <v>6011</v>
      </c>
      <c r="P488" t="s">
        <v>6012</v>
      </c>
      <c r="Q488" t="s">
        <v>6013</v>
      </c>
      <c r="R488" t="s">
        <v>74</v>
      </c>
      <c r="S488" t="s">
        <v>74</v>
      </c>
      <c r="T488" t="s">
        <v>6014</v>
      </c>
      <c r="U488" t="s">
        <v>6015</v>
      </c>
      <c r="V488" t="s">
        <v>6016</v>
      </c>
      <c r="W488" t="s">
        <v>6017</v>
      </c>
      <c r="X488" t="s">
        <v>6018</v>
      </c>
      <c r="Y488" t="s">
        <v>6019</v>
      </c>
      <c r="Z488" t="s">
        <v>6020</v>
      </c>
      <c r="AA488" t="s">
        <v>6021</v>
      </c>
      <c r="AB488" t="s">
        <v>74</v>
      </c>
      <c r="AC488" t="s">
        <v>74</v>
      </c>
      <c r="AD488" t="s">
        <v>74</v>
      </c>
      <c r="AE488" t="s">
        <v>74</v>
      </c>
      <c r="AF488" t="s">
        <v>74</v>
      </c>
      <c r="AG488">
        <v>130</v>
      </c>
      <c r="AH488">
        <v>965</v>
      </c>
      <c r="AI488">
        <v>1101</v>
      </c>
      <c r="AJ488">
        <v>8</v>
      </c>
      <c r="AK488">
        <v>233</v>
      </c>
      <c r="AL488" t="s">
        <v>451</v>
      </c>
      <c r="AM488" t="s">
        <v>214</v>
      </c>
      <c r="AN488" t="s">
        <v>452</v>
      </c>
      <c r="AO488" t="s">
        <v>6003</v>
      </c>
      <c r="AP488" t="s">
        <v>74</v>
      </c>
      <c r="AQ488" t="s">
        <v>74</v>
      </c>
      <c r="AR488" t="s">
        <v>6004</v>
      </c>
      <c r="AS488" t="s">
        <v>6005</v>
      </c>
      <c r="AT488" t="s">
        <v>74</v>
      </c>
      <c r="AU488">
        <v>1998</v>
      </c>
      <c r="AV488">
        <v>29</v>
      </c>
      <c r="AW488" t="s">
        <v>6022</v>
      </c>
      <c r="AX488" t="s">
        <v>74</v>
      </c>
      <c r="AY488" t="s">
        <v>74</v>
      </c>
      <c r="AZ488" t="s">
        <v>74</v>
      </c>
      <c r="BA488" t="s">
        <v>74</v>
      </c>
      <c r="BB488">
        <v>1163</v>
      </c>
      <c r="BC488">
        <v>1179</v>
      </c>
      <c r="BD488" t="s">
        <v>74</v>
      </c>
      <c r="BE488" t="s">
        <v>6023</v>
      </c>
      <c r="BF488" t="str">
        <f>HYPERLINK("http://dx.doi.org/10.1016/S0146-6380(98)00062-X","http://dx.doi.org/10.1016/S0146-6380(98)00062-X")</f>
        <v>http://dx.doi.org/10.1016/S0146-6380(98)00062-X</v>
      </c>
      <c r="BG488" t="s">
        <v>74</v>
      </c>
      <c r="BH488" t="s">
        <v>74</v>
      </c>
      <c r="BI488">
        <v>17</v>
      </c>
      <c r="BJ488" t="s">
        <v>143</v>
      </c>
      <c r="BK488" t="s">
        <v>3943</v>
      </c>
      <c r="BL488" t="s">
        <v>143</v>
      </c>
      <c r="BM488" t="s">
        <v>6024</v>
      </c>
      <c r="BN488" t="s">
        <v>74</v>
      </c>
      <c r="BO488" t="s">
        <v>74</v>
      </c>
      <c r="BP488" t="s">
        <v>74</v>
      </c>
      <c r="BQ488" t="s">
        <v>74</v>
      </c>
      <c r="BR488" t="s">
        <v>101</v>
      </c>
      <c r="BS488" t="s">
        <v>6025</v>
      </c>
      <c r="BT488" t="str">
        <f>HYPERLINK("https%3A%2F%2Fwww.webofscience.com%2Fwos%2Fwoscc%2Ffull-record%2FWOS:000077995900014","View Full Record in Web of Science")</f>
        <v>View Full Record in Web of Science</v>
      </c>
    </row>
    <row r="489" spans="1:72" x14ac:dyDescent="0.15">
      <c r="A489" t="s">
        <v>72</v>
      </c>
      <c r="B489" t="s">
        <v>6026</v>
      </c>
      <c r="C489" t="s">
        <v>74</v>
      </c>
      <c r="D489" t="s">
        <v>74</v>
      </c>
      <c r="E489" t="s">
        <v>74</v>
      </c>
      <c r="F489" t="s">
        <v>6026</v>
      </c>
      <c r="G489" t="s">
        <v>74</v>
      </c>
      <c r="H489" t="s">
        <v>74</v>
      </c>
      <c r="I489" t="s">
        <v>6027</v>
      </c>
      <c r="J489" t="s">
        <v>5994</v>
      </c>
      <c r="K489" t="s">
        <v>74</v>
      </c>
      <c r="L489" t="s">
        <v>74</v>
      </c>
      <c r="M489" t="s">
        <v>77</v>
      </c>
      <c r="N489" t="s">
        <v>78</v>
      </c>
      <c r="O489" t="s">
        <v>74</v>
      </c>
      <c r="P489" t="s">
        <v>74</v>
      </c>
      <c r="Q489" t="s">
        <v>74</v>
      </c>
      <c r="R489" t="s">
        <v>74</v>
      </c>
      <c r="S489" t="s">
        <v>74</v>
      </c>
      <c r="T489" t="s">
        <v>6028</v>
      </c>
      <c r="U489" t="s">
        <v>6029</v>
      </c>
      <c r="V489" t="s">
        <v>6030</v>
      </c>
      <c r="W489" t="s">
        <v>6031</v>
      </c>
      <c r="X489" t="s">
        <v>6032</v>
      </c>
      <c r="Y489" t="s">
        <v>6033</v>
      </c>
      <c r="Z489" t="s">
        <v>74</v>
      </c>
      <c r="AA489" t="s">
        <v>6034</v>
      </c>
      <c r="AB489" t="s">
        <v>74</v>
      </c>
      <c r="AC489" t="s">
        <v>74</v>
      </c>
      <c r="AD489" t="s">
        <v>74</v>
      </c>
      <c r="AE489" t="s">
        <v>74</v>
      </c>
      <c r="AF489" t="s">
        <v>74</v>
      </c>
      <c r="AG489">
        <v>50</v>
      </c>
      <c r="AH489">
        <v>145</v>
      </c>
      <c r="AI489">
        <v>166</v>
      </c>
      <c r="AJ489">
        <v>2</v>
      </c>
      <c r="AK489">
        <v>62</v>
      </c>
      <c r="AL489" t="s">
        <v>451</v>
      </c>
      <c r="AM489" t="s">
        <v>214</v>
      </c>
      <c r="AN489" t="s">
        <v>452</v>
      </c>
      <c r="AO489" t="s">
        <v>6003</v>
      </c>
      <c r="AP489" t="s">
        <v>74</v>
      </c>
      <c r="AQ489" t="s">
        <v>74</v>
      </c>
      <c r="AR489" t="s">
        <v>6004</v>
      </c>
      <c r="AS489" t="s">
        <v>6005</v>
      </c>
      <c r="AT489" t="s">
        <v>74</v>
      </c>
      <c r="AU489">
        <v>1998</v>
      </c>
      <c r="AV489">
        <v>28</v>
      </c>
      <c r="AW489" t="s">
        <v>6035</v>
      </c>
      <c r="AX489" t="s">
        <v>74</v>
      </c>
      <c r="AY489" t="s">
        <v>74</v>
      </c>
      <c r="AZ489" t="s">
        <v>74</v>
      </c>
      <c r="BA489" t="s">
        <v>74</v>
      </c>
      <c r="BB489">
        <v>465</v>
      </c>
      <c r="BC489">
        <v>475</v>
      </c>
      <c r="BD489" t="s">
        <v>74</v>
      </c>
      <c r="BE489" t="s">
        <v>6036</v>
      </c>
      <c r="BF489" t="str">
        <f>HYPERLINK("http://dx.doi.org/10.1016/S0146-6380(98)00011-4","http://dx.doi.org/10.1016/S0146-6380(98)00011-4")</f>
        <v>http://dx.doi.org/10.1016/S0146-6380(98)00011-4</v>
      </c>
      <c r="BG489" t="s">
        <v>74</v>
      </c>
      <c r="BH489" t="s">
        <v>74</v>
      </c>
      <c r="BI489">
        <v>11</v>
      </c>
      <c r="BJ489" t="s">
        <v>143</v>
      </c>
      <c r="BK489" t="s">
        <v>98</v>
      </c>
      <c r="BL489" t="s">
        <v>143</v>
      </c>
      <c r="BM489" t="s">
        <v>6037</v>
      </c>
      <c r="BN489" t="s">
        <v>74</v>
      </c>
      <c r="BO489" t="s">
        <v>74</v>
      </c>
      <c r="BP489" t="s">
        <v>74</v>
      </c>
      <c r="BQ489" t="s">
        <v>74</v>
      </c>
      <c r="BR489" t="s">
        <v>101</v>
      </c>
      <c r="BS489" t="s">
        <v>6038</v>
      </c>
      <c r="BT489" t="str">
        <f>HYPERLINK("https%3A%2F%2Fwww.webofscience.com%2Fwos%2Fwoscc%2Ffull-record%2FWOS:000074542900005","View Full Record in Web of Science")</f>
        <v>View Full Record in Web of Science</v>
      </c>
    </row>
    <row r="490" spans="1:72" x14ac:dyDescent="0.15">
      <c r="A490" t="s">
        <v>72</v>
      </c>
      <c r="B490" t="s">
        <v>6039</v>
      </c>
      <c r="C490" t="s">
        <v>74</v>
      </c>
      <c r="D490" t="s">
        <v>74</v>
      </c>
      <c r="E490" t="s">
        <v>74</v>
      </c>
      <c r="F490" t="s">
        <v>6039</v>
      </c>
      <c r="G490" t="s">
        <v>74</v>
      </c>
      <c r="H490" t="s">
        <v>74</v>
      </c>
      <c r="I490" t="s">
        <v>6040</v>
      </c>
      <c r="J490" t="s">
        <v>5994</v>
      </c>
      <c r="K490" t="s">
        <v>74</v>
      </c>
      <c r="L490" t="s">
        <v>74</v>
      </c>
      <c r="M490" t="s">
        <v>77</v>
      </c>
      <c r="N490" t="s">
        <v>78</v>
      </c>
      <c r="O490" t="s">
        <v>74</v>
      </c>
      <c r="P490" t="s">
        <v>74</v>
      </c>
      <c r="Q490" t="s">
        <v>74</v>
      </c>
      <c r="R490" t="s">
        <v>74</v>
      </c>
      <c r="S490" t="s">
        <v>74</v>
      </c>
      <c r="T490" t="s">
        <v>6041</v>
      </c>
      <c r="U490" t="s">
        <v>6042</v>
      </c>
      <c r="V490" t="s">
        <v>6043</v>
      </c>
      <c r="W490" t="s">
        <v>6044</v>
      </c>
      <c r="X490" t="s">
        <v>6045</v>
      </c>
      <c r="Y490" t="s">
        <v>6046</v>
      </c>
      <c r="Z490" t="s">
        <v>74</v>
      </c>
      <c r="AA490" t="s">
        <v>6047</v>
      </c>
      <c r="AB490" t="s">
        <v>6048</v>
      </c>
      <c r="AC490" t="s">
        <v>74</v>
      </c>
      <c r="AD490" t="s">
        <v>74</v>
      </c>
      <c r="AE490" t="s">
        <v>74</v>
      </c>
      <c r="AF490" t="s">
        <v>74</v>
      </c>
      <c r="AG490">
        <v>64</v>
      </c>
      <c r="AH490">
        <v>46</v>
      </c>
      <c r="AI490">
        <v>48</v>
      </c>
      <c r="AJ490">
        <v>0</v>
      </c>
      <c r="AK490">
        <v>17</v>
      </c>
      <c r="AL490" t="s">
        <v>451</v>
      </c>
      <c r="AM490" t="s">
        <v>214</v>
      </c>
      <c r="AN490" t="s">
        <v>452</v>
      </c>
      <c r="AO490" t="s">
        <v>6003</v>
      </c>
      <c r="AP490" t="s">
        <v>74</v>
      </c>
      <c r="AQ490" t="s">
        <v>74</v>
      </c>
      <c r="AR490" t="s">
        <v>6004</v>
      </c>
      <c r="AS490" t="s">
        <v>6005</v>
      </c>
      <c r="AT490" t="s">
        <v>74</v>
      </c>
      <c r="AU490">
        <v>1998</v>
      </c>
      <c r="AV490">
        <v>28</v>
      </c>
      <c r="AW490" t="s">
        <v>6035</v>
      </c>
      <c r="AX490" t="s">
        <v>74</v>
      </c>
      <c r="AY490" t="s">
        <v>74</v>
      </c>
      <c r="AZ490" t="s">
        <v>74</v>
      </c>
      <c r="BA490" t="s">
        <v>74</v>
      </c>
      <c r="BB490">
        <v>489</v>
      </c>
      <c r="BC490">
        <v>501</v>
      </c>
      <c r="BD490" t="s">
        <v>74</v>
      </c>
      <c r="BE490" t="s">
        <v>6049</v>
      </c>
      <c r="BF490" t="str">
        <f>HYPERLINK("http://dx.doi.org/10.1016/S0146-6380(98)00008-4","http://dx.doi.org/10.1016/S0146-6380(98)00008-4")</f>
        <v>http://dx.doi.org/10.1016/S0146-6380(98)00008-4</v>
      </c>
      <c r="BG490" t="s">
        <v>74</v>
      </c>
      <c r="BH490" t="s">
        <v>74</v>
      </c>
      <c r="BI490">
        <v>13</v>
      </c>
      <c r="BJ490" t="s">
        <v>143</v>
      </c>
      <c r="BK490" t="s">
        <v>98</v>
      </c>
      <c r="BL490" t="s">
        <v>143</v>
      </c>
      <c r="BM490" t="s">
        <v>6037</v>
      </c>
      <c r="BN490" t="s">
        <v>74</v>
      </c>
      <c r="BO490" t="s">
        <v>74</v>
      </c>
      <c r="BP490" t="s">
        <v>74</v>
      </c>
      <c r="BQ490" t="s">
        <v>74</v>
      </c>
      <c r="BR490" t="s">
        <v>101</v>
      </c>
      <c r="BS490" t="s">
        <v>6050</v>
      </c>
      <c r="BT490" t="str">
        <f>HYPERLINK("https%3A%2F%2Fwww.webofscience.com%2Fwos%2Fwoscc%2Ffull-record%2FWOS:000074542900007","View Full Record in Web of Science")</f>
        <v>View Full Record in Web of Science</v>
      </c>
    </row>
    <row r="491" spans="1:72" x14ac:dyDescent="0.15">
      <c r="A491" t="s">
        <v>72</v>
      </c>
      <c r="B491" t="s">
        <v>6051</v>
      </c>
      <c r="C491" t="s">
        <v>74</v>
      </c>
      <c r="D491" t="s">
        <v>74</v>
      </c>
      <c r="E491" t="s">
        <v>74</v>
      </c>
      <c r="F491" t="s">
        <v>6051</v>
      </c>
      <c r="G491" t="s">
        <v>74</v>
      </c>
      <c r="H491" t="s">
        <v>74</v>
      </c>
      <c r="I491" t="s">
        <v>6052</v>
      </c>
      <c r="J491" t="s">
        <v>6053</v>
      </c>
      <c r="K491" t="s">
        <v>74</v>
      </c>
      <c r="L491" t="s">
        <v>74</v>
      </c>
      <c r="M491" t="s">
        <v>77</v>
      </c>
      <c r="N491" t="s">
        <v>78</v>
      </c>
      <c r="O491" t="s">
        <v>74</v>
      </c>
      <c r="P491" t="s">
        <v>74</v>
      </c>
      <c r="Q491" t="s">
        <v>74</v>
      </c>
      <c r="R491" t="s">
        <v>74</v>
      </c>
      <c r="S491" t="s">
        <v>74</v>
      </c>
      <c r="T491" t="s">
        <v>74</v>
      </c>
      <c r="U491" t="s">
        <v>6054</v>
      </c>
      <c r="V491" t="s">
        <v>6055</v>
      </c>
      <c r="W491" t="s">
        <v>6056</v>
      </c>
      <c r="X491" t="s">
        <v>6057</v>
      </c>
      <c r="Y491" t="s">
        <v>6058</v>
      </c>
      <c r="Z491" t="s">
        <v>74</v>
      </c>
      <c r="AA491" t="s">
        <v>74</v>
      </c>
      <c r="AB491" t="s">
        <v>74</v>
      </c>
      <c r="AC491" t="s">
        <v>74</v>
      </c>
      <c r="AD491" t="s">
        <v>74</v>
      </c>
      <c r="AE491" t="s">
        <v>74</v>
      </c>
      <c r="AF491" t="s">
        <v>74</v>
      </c>
      <c r="AG491">
        <v>17</v>
      </c>
      <c r="AH491">
        <v>4</v>
      </c>
      <c r="AI491">
        <v>4</v>
      </c>
      <c r="AJ491">
        <v>0</v>
      </c>
      <c r="AK491">
        <v>3</v>
      </c>
      <c r="AL491" t="s">
        <v>6059</v>
      </c>
      <c r="AM491" t="s">
        <v>2716</v>
      </c>
      <c r="AN491" t="s">
        <v>6060</v>
      </c>
      <c r="AO491" t="s">
        <v>6061</v>
      </c>
      <c r="AP491" t="s">
        <v>74</v>
      </c>
      <c r="AQ491" t="s">
        <v>74</v>
      </c>
      <c r="AR491" t="s">
        <v>6053</v>
      </c>
      <c r="AS491" t="s">
        <v>6062</v>
      </c>
      <c r="AT491" t="s">
        <v>74</v>
      </c>
      <c r="AU491">
        <v>1998</v>
      </c>
      <c r="AV491">
        <v>75</v>
      </c>
      <c r="AW491">
        <v>2</v>
      </c>
      <c r="AX491" t="s">
        <v>74</v>
      </c>
      <c r="AY491" t="s">
        <v>74</v>
      </c>
      <c r="AZ491" t="s">
        <v>74</v>
      </c>
      <c r="BA491" t="s">
        <v>74</v>
      </c>
      <c r="BB491">
        <v>69</v>
      </c>
      <c r="BC491">
        <v>75</v>
      </c>
      <c r="BD491" t="s">
        <v>74</v>
      </c>
      <c r="BE491" t="s">
        <v>74</v>
      </c>
      <c r="BF491" t="s">
        <v>74</v>
      </c>
      <c r="BG491" t="s">
        <v>74</v>
      </c>
      <c r="BH491" t="s">
        <v>74</v>
      </c>
      <c r="BI491">
        <v>7</v>
      </c>
      <c r="BJ491" t="s">
        <v>439</v>
      </c>
      <c r="BK491" t="s">
        <v>98</v>
      </c>
      <c r="BL491" t="s">
        <v>417</v>
      </c>
      <c r="BM491" t="s">
        <v>6063</v>
      </c>
      <c r="BN491" t="s">
        <v>74</v>
      </c>
      <c r="BO491" t="s">
        <v>74</v>
      </c>
      <c r="BP491" t="s">
        <v>74</v>
      </c>
      <c r="BQ491" t="s">
        <v>74</v>
      </c>
      <c r="BR491" t="s">
        <v>101</v>
      </c>
      <c r="BS491" t="s">
        <v>6064</v>
      </c>
      <c r="BT491" t="str">
        <f>HYPERLINK("https%3A%2F%2Fwww.webofscience.com%2Fwos%2Fwoscc%2Ffull-record%2FWOS:000075299600002","View Full Record in Web of Science")</f>
        <v>View Full Record in Web of Science</v>
      </c>
    </row>
    <row r="492" spans="1:72" x14ac:dyDescent="0.15">
      <c r="A492" t="s">
        <v>2175</v>
      </c>
      <c r="B492" t="s">
        <v>6065</v>
      </c>
      <c r="C492" t="s">
        <v>74</v>
      </c>
      <c r="D492" t="s">
        <v>6066</v>
      </c>
      <c r="E492" t="s">
        <v>74</v>
      </c>
      <c r="F492" t="s">
        <v>6065</v>
      </c>
      <c r="G492" t="s">
        <v>74</v>
      </c>
      <c r="H492" t="s">
        <v>74</v>
      </c>
      <c r="I492" t="s">
        <v>6067</v>
      </c>
      <c r="J492" t="s">
        <v>6068</v>
      </c>
      <c r="K492" t="s">
        <v>6069</v>
      </c>
      <c r="L492" t="s">
        <v>74</v>
      </c>
      <c r="M492" t="s">
        <v>5443</v>
      </c>
      <c r="N492" t="s">
        <v>2180</v>
      </c>
      <c r="O492" t="s">
        <v>6070</v>
      </c>
      <c r="P492" t="s">
        <v>6071</v>
      </c>
      <c r="Q492" t="s">
        <v>6072</v>
      </c>
      <c r="R492" t="s">
        <v>74</v>
      </c>
      <c r="S492" t="s">
        <v>74</v>
      </c>
      <c r="T492" t="s">
        <v>6073</v>
      </c>
      <c r="U492" t="s">
        <v>74</v>
      </c>
      <c r="V492" t="s">
        <v>6074</v>
      </c>
      <c r="W492" t="s">
        <v>6075</v>
      </c>
      <c r="X492" t="s">
        <v>74</v>
      </c>
      <c r="Y492" t="s">
        <v>6076</v>
      </c>
      <c r="Z492" t="s">
        <v>74</v>
      </c>
      <c r="AA492" t="s">
        <v>6077</v>
      </c>
      <c r="AB492" t="s">
        <v>74</v>
      </c>
      <c r="AC492" t="s">
        <v>74</v>
      </c>
      <c r="AD492" t="s">
        <v>74</v>
      </c>
      <c r="AE492" t="s">
        <v>74</v>
      </c>
      <c r="AF492" t="s">
        <v>74</v>
      </c>
      <c r="AG492">
        <v>44</v>
      </c>
      <c r="AH492">
        <v>6</v>
      </c>
      <c r="AI492">
        <v>6</v>
      </c>
      <c r="AJ492">
        <v>0</v>
      </c>
      <c r="AK492">
        <v>0</v>
      </c>
      <c r="AL492" t="s">
        <v>6078</v>
      </c>
      <c r="AM492" t="s">
        <v>6079</v>
      </c>
      <c r="AN492" t="s">
        <v>6080</v>
      </c>
      <c r="AO492" t="s">
        <v>6081</v>
      </c>
      <c r="AP492" t="s">
        <v>74</v>
      </c>
      <c r="AQ492" t="s">
        <v>74</v>
      </c>
      <c r="AR492" t="s">
        <v>6082</v>
      </c>
      <c r="AS492" t="s">
        <v>74</v>
      </c>
      <c r="AT492" t="s">
        <v>74</v>
      </c>
      <c r="AU492">
        <v>1998</v>
      </c>
      <c r="AV492" t="s">
        <v>74</v>
      </c>
      <c r="AW492">
        <v>5</v>
      </c>
      <c r="AX492" t="s">
        <v>74</v>
      </c>
      <c r="AY492" t="s">
        <v>74</v>
      </c>
      <c r="AZ492" t="s">
        <v>74</v>
      </c>
      <c r="BA492" t="s">
        <v>74</v>
      </c>
      <c r="BB492">
        <v>61</v>
      </c>
      <c r="BC492">
        <v>69</v>
      </c>
      <c r="BD492" t="s">
        <v>74</v>
      </c>
      <c r="BE492" t="s">
        <v>74</v>
      </c>
      <c r="BF492" t="s">
        <v>74</v>
      </c>
      <c r="BG492" t="s">
        <v>74</v>
      </c>
      <c r="BH492" t="s">
        <v>74</v>
      </c>
      <c r="BI492">
        <v>9</v>
      </c>
      <c r="BJ492" t="s">
        <v>734</v>
      </c>
      <c r="BK492" t="s">
        <v>2189</v>
      </c>
      <c r="BL492" t="s">
        <v>734</v>
      </c>
      <c r="BM492" t="s">
        <v>6083</v>
      </c>
      <c r="BN492" t="s">
        <v>74</v>
      </c>
      <c r="BO492" t="s">
        <v>74</v>
      </c>
      <c r="BP492" t="s">
        <v>74</v>
      </c>
      <c r="BQ492" t="s">
        <v>74</v>
      </c>
      <c r="BR492" t="s">
        <v>101</v>
      </c>
      <c r="BS492" t="s">
        <v>6084</v>
      </c>
      <c r="BT492" t="str">
        <f>HYPERLINK("https%3A%2F%2Fwww.webofscience.com%2Fwos%2Fwoscc%2Ffull-record%2FWOS:000081883000007","View Full Record in Web of Science")</f>
        <v>View Full Record in Web of Science</v>
      </c>
    </row>
    <row r="493" spans="1:72" x14ac:dyDescent="0.15">
      <c r="A493" t="s">
        <v>2175</v>
      </c>
      <c r="B493" t="s">
        <v>6085</v>
      </c>
      <c r="C493" t="s">
        <v>74</v>
      </c>
      <c r="D493" t="s">
        <v>6066</v>
      </c>
      <c r="E493" t="s">
        <v>74</v>
      </c>
      <c r="F493" t="s">
        <v>6085</v>
      </c>
      <c r="G493" t="s">
        <v>74</v>
      </c>
      <c r="H493" t="s">
        <v>74</v>
      </c>
      <c r="I493" t="s">
        <v>6086</v>
      </c>
      <c r="J493" t="s">
        <v>6068</v>
      </c>
      <c r="K493" t="s">
        <v>6069</v>
      </c>
      <c r="L493" t="s">
        <v>74</v>
      </c>
      <c r="M493" t="s">
        <v>5443</v>
      </c>
      <c r="N493" t="s">
        <v>2180</v>
      </c>
      <c r="O493" t="s">
        <v>6070</v>
      </c>
      <c r="P493" t="s">
        <v>6071</v>
      </c>
      <c r="Q493" t="s">
        <v>6072</v>
      </c>
      <c r="R493" t="s">
        <v>74</v>
      </c>
      <c r="S493" t="s">
        <v>74</v>
      </c>
      <c r="T493" t="s">
        <v>6087</v>
      </c>
      <c r="U493" t="s">
        <v>6088</v>
      </c>
      <c r="V493" t="s">
        <v>6089</v>
      </c>
      <c r="W493" t="s">
        <v>6090</v>
      </c>
      <c r="X493" t="s">
        <v>74</v>
      </c>
      <c r="Y493" t="s">
        <v>6091</v>
      </c>
      <c r="Z493" t="s">
        <v>74</v>
      </c>
      <c r="AA493" t="s">
        <v>74</v>
      </c>
      <c r="AB493" t="s">
        <v>74</v>
      </c>
      <c r="AC493" t="s">
        <v>74</v>
      </c>
      <c r="AD493" t="s">
        <v>74</v>
      </c>
      <c r="AE493" t="s">
        <v>74</v>
      </c>
      <c r="AF493" t="s">
        <v>74</v>
      </c>
      <c r="AG493">
        <v>52</v>
      </c>
      <c r="AH493">
        <v>6</v>
      </c>
      <c r="AI493">
        <v>6</v>
      </c>
      <c r="AJ493">
        <v>0</v>
      </c>
      <c r="AK493">
        <v>4</v>
      </c>
      <c r="AL493" t="s">
        <v>6078</v>
      </c>
      <c r="AM493" t="s">
        <v>6079</v>
      </c>
      <c r="AN493" t="s">
        <v>6080</v>
      </c>
      <c r="AO493" t="s">
        <v>6081</v>
      </c>
      <c r="AP493" t="s">
        <v>74</v>
      </c>
      <c r="AQ493" t="s">
        <v>74</v>
      </c>
      <c r="AR493" t="s">
        <v>6082</v>
      </c>
      <c r="AS493" t="s">
        <v>74</v>
      </c>
      <c r="AT493" t="s">
        <v>74</v>
      </c>
      <c r="AU493">
        <v>1998</v>
      </c>
      <c r="AV493" t="s">
        <v>74</v>
      </c>
      <c r="AW493">
        <v>5</v>
      </c>
      <c r="AX493" t="s">
        <v>74</v>
      </c>
      <c r="AY493" t="s">
        <v>74</v>
      </c>
      <c r="AZ493" t="s">
        <v>74</v>
      </c>
      <c r="BA493" t="s">
        <v>74</v>
      </c>
      <c r="BB493">
        <v>85</v>
      </c>
      <c r="BC493">
        <v>94</v>
      </c>
      <c r="BD493" t="s">
        <v>74</v>
      </c>
      <c r="BE493" t="s">
        <v>74</v>
      </c>
      <c r="BF493" t="s">
        <v>74</v>
      </c>
      <c r="BG493" t="s">
        <v>74</v>
      </c>
      <c r="BH493" t="s">
        <v>74</v>
      </c>
      <c r="BI493">
        <v>10</v>
      </c>
      <c r="BJ493" t="s">
        <v>734</v>
      </c>
      <c r="BK493" t="s">
        <v>2189</v>
      </c>
      <c r="BL493" t="s">
        <v>734</v>
      </c>
      <c r="BM493" t="s">
        <v>6083</v>
      </c>
      <c r="BN493" t="s">
        <v>74</v>
      </c>
      <c r="BO493" t="s">
        <v>74</v>
      </c>
      <c r="BP493" t="s">
        <v>74</v>
      </c>
      <c r="BQ493" t="s">
        <v>74</v>
      </c>
      <c r="BR493" t="s">
        <v>101</v>
      </c>
      <c r="BS493" t="s">
        <v>6092</v>
      </c>
      <c r="BT493" t="str">
        <f>HYPERLINK("https%3A%2F%2Fwww.webofscience.com%2Fwos%2Fwoscc%2Ffull-record%2FWOS:000081883000010","View Full Record in Web of Science")</f>
        <v>View Full Record in Web of Science</v>
      </c>
    </row>
    <row r="494" spans="1:72" x14ac:dyDescent="0.15">
      <c r="A494" t="s">
        <v>2175</v>
      </c>
      <c r="B494" t="s">
        <v>6093</v>
      </c>
      <c r="C494" t="s">
        <v>74</v>
      </c>
      <c r="D494" t="s">
        <v>6066</v>
      </c>
      <c r="E494" t="s">
        <v>74</v>
      </c>
      <c r="F494" t="s">
        <v>6093</v>
      </c>
      <c r="G494" t="s">
        <v>74</v>
      </c>
      <c r="H494" t="s">
        <v>74</v>
      </c>
      <c r="I494" t="s">
        <v>6094</v>
      </c>
      <c r="J494" t="s">
        <v>6068</v>
      </c>
      <c r="K494" t="s">
        <v>6069</v>
      </c>
      <c r="L494" t="s">
        <v>74</v>
      </c>
      <c r="M494" t="s">
        <v>5443</v>
      </c>
      <c r="N494" t="s">
        <v>2180</v>
      </c>
      <c r="O494" t="s">
        <v>6070</v>
      </c>
      <c r="P494" t="s">
        <v>6071</v>
      </c>
      <c r="Q494" t="s">
        <v>6072</v>
      </c>
      <c r="R494" t="s">
        <v>74</v>
      </c>
      <c r="S494" t="s">
        <v>74</v>
      </c>
      <c r="T494" t="s">
        <v>6095</v>
      </c>
      <c r="U494" t="s">
        <v>6096</v>
      </c>
      <c r="V494" t="s">
        <v>6097</v>
      </c>
      <c r="W494" t="s">
        <v>6098</v>
      </c>
      <c r="X494" t="s">
        <v>74</v>
      </c>
      <c r="Y494" t="s">
        <v>6099</v>
      </c>
      <c r="Z494" t="s">
        <v>74</v>
      </c>
      <c r="AA494" t="s">
        <v>74</v>
      </c>
      <c r="AB494" t="s">
        <v>74</v>
      </c>
      <c r="AC494" t="s">
        <v>74</v>
      </c>
      <c r="AD494" t="s">
        <v>74</v>
      </c>
      <c r="AE494" t="s">
        <v>74</v>
      </c>
      <c r="AF494" t="s">
        <v>74</v>
      </c>
      <c r="AG494">
        <v>22</v>
      </c>
      <c r="AH494">
        <v>5</v>
      </c>
      <c r="AI494">
        <v>5</v>
      </c>
      <c r="AJ494">
        <v>0</v>
      </c>
      <c r="AK494">
        <v>1</v>
      </c>
      <c r="AL494" t="s">
        <v>6078</v>
      </c>
      <c r="AM494" t="s">
        <v>6079</v>
      </c>
      <c r="AN494" t="s">
        <v>6080</v>
      </c>
      <c r="AO494" t="s">
        <v>6081</v>
      </c>
      <c r="AP494" t="s">
        <v>74</v>
      </c>
      <c r="AQ494" t="s">
        <v>74</v>
      </c>
      <c r="AR494" t="s">
        <v>6082</v>
      </c>
      <c r="AS494" t="s">
        <v>74</v>
      </c>
      <c r="AT494" t="s">
        <v>74</v>
      </c>
      <c r="AU494">
        <v>1998</v>
      </c>
      <c r="AV494" t="s">
        <v>74</v>
      </c>
      <c r="AW494">
        <v>5</v>
      </c>
      <c r="AX494" t="s">
        <v>74</v>
      </c>
      <c r="AY494" t="s">
        <v>74</v>
      </c>
      <c r="AZ494" t="s">
        <v>74</v>
      </c>
      <c r="BA494" t="s">
        <v>74</v>
      </c>
      <c r="BB494">
        <v>129</v>
      </c>
      <c r="BC494">
        <v>136</v>
      </c>
      <c r="BD494" t="s">
        <v>74</v>
      </c>
      <c r="BE494" t="s">
        <v>74</v>
      </c>
      <c r="BF494" t="s">
        <v>74</v>
      </c>
      <c r="BG494" t="s">
        <v>74</v>
      </c>
      <c r="BH494" t="s">
        <v>74</v>
      </c>
      <c r="BI494">
        <v>8</v>
      </c>
      <c r="BJ494" t="s">
        <v>734</v>
      </c>
      <c r="BK494" t="s">
        <v>2189</v>
      </c>
      <c r="BL494" t="s">
        <v>734</v>
      </c>
      <c r="BM494" t="s">
        <v>6083</v>
      </c>
      <c r="BN494" t="s">
        <v>74</v>
      </c>
      <c r="BO494" t="s">
        <v>74</v>
      </c>
      <c r="BP494" t="s">
        <v>74</v>
      </c>
      <c r="BQ494" t="s">
        <v>74</v>
      </c>
      <c r="BR494" t="s">
        <v>101</v>
      </c>
      <c r="BS494" t="s">
        <v>6100</v>
      </c>
      <c r="BT494" t="str">
        <f>HYPERLINK("https%3A%2F%2Fwww.webofscience.com%2Fwos%2Fwoscc%2Ffull-record%2FWOS:000081883000013","View Full Record in Web of Science")</f>
        <v>View Full Record in Web of Science</v>
      </c>
    </row>
    <row r="495" spans="1:72" x14ac:dyDescent="0.15">
      <c r="A495" t="s">
        <v>2175</v>
      </c>
      <c r="B495" t="s">
        <v>6101</v>
      </c>
      <c r="C495" t="s">
        <v>74</v>
      </c>
      <c r="D495" t="s">
        <v>6066</v>
      </c>
      <c r="E495" t="s">
        <v>74</v>
      </c>
      <c r="F495" t="s">
        <v>6101</v>
      </c>
      <c r="G495" t="s">
        <v>74</v>
      </c>
      <c r="H495" t="s">
        <v>74</v>
      </c>
      <c r="I495" t="s">
        <v>6102</v>
      </c>
      <c r="J495" t="s">
        <v>6068</v>
      </c>
      <c r="K495" t="s">
        <v>6069</v>
      </c>
      <c r="L495" t="s">
        <v>74</v>
      </c>
      <c r="M495" t="s">
        <v>77</v>
      </c>
      <c r="N495" t="s">
        <v>2180</v>
      </c>
      <c r="O495" t="s">
        <v>6070</v>
      </c>
      <c r="P495" t="s">
        <v>6071</v>
      </c>
      <c r="Q495" t="s">
        <v>6072</v>
      </c>
      <c r="R495" t="s">
        <v>74</v>
      </c>
      <c r="S495" t="s">
        <v>74</v>
      </c>
      <c r="T495" t="s">
        <v>6103</v>
      </c>
      <c r="U495" t="s">
        <v>5911</v>
      </c>
      <c r="V495" t="s">
        <v>6104</v>
      </c>
      <c r="W495" t="s">
        <v>6105</v>
      </c>
      <c r="X495" t="s">
        <v>6106</v>
      </c>
      <c r="Y495" t="s">
        <v>6107</v>
      </c>
      <c r="Z495" t="s">
        <v>74</v>
      </c>
      <c r="AA495" t="s">
        <v>74</v>
      </c>
      <c r="AB495" t="s">
        <v>74</v>
      </c>
      <c r="AC495" t="s">
        <v>74</v>
      </c>
      <c r="AD495" t="s">
        <v>74</v>
      </c>
      <c r="AE495" t="s">
        <v>74</v>
      </c>
      <c r="AF495" t="s">
        <v>74</v>
      </c>
      <c r="AG495">
        <v>21</v>
      </c>
      <c r="AH495">
        <v>100</v>
      </c>
      <c r="AI495">
        <v>112</v>
      </c>
      <c r="AJ495">
        <v>0</v>
      </c>
      <c r="AK495">
        <v>2</v>
      </c>
      <c r="AL495" t="s">
        <v>6078</v>
      </c>
      <c r="AM495" t="s">
        <v>6079</v>
      </c>
      <c r="AN495" t="s">
        <v>6080</v>
      </c>
      <c r="AO495" t="s">
        <v>6081</v>
      </c>
      <c r="AP495" t="s">
        <v>74</v>
      </c>
      <c r="AQ495" t="s">
        <v>74</v>
      </c>
      <c r="AR495" t="s">
        <v>6082</v>
      </c>
      <c r="AS495" t="s">
        <v>74</v>
      </c>
      <c r="AT495" t="s">
        <v>74</v>
      </c>
      <c r="AU495">
        <v>1998</v>
      </c>
      <c r="AV495" t="s">
        <v>74</v>
      </c>
      <c r="AW495">
        <v>5</v>
      </c>
      <c r="AX495" t="s">
        <v>74</v>
      </c>
      <c r="AY495" t="s">
        <v>74</v>
      </c>
      <c r="AZ495" t="s">
        <v>74</v>
      </c>
      <c r="BA495" t="s">
        <v>74</v>
      </c>
      <c r="BB495">
        <v>137</v>
      </c>
      <c r="BC495">
        <v>146</v>
      </c>
      <c r="BD495" t="s">
        <v>74</v>
      </c>
      <c r="BE495" t="s">
        <v>74</v>
      </c>
      <c r="BF495" t="s">
        <v>74</v>
      </c>
      <c r="BG495" t="s">
        <v>74</v>
      </c>
      <c r="BH495" t="s">
        <v>74</v>
      </c>
      <c r="BI495">
        <v>10</v>
      </c>
      <c r="BJ495" t="s">
        <v>734</v>
      </c>
      <c r="BK495" t="s">
        <v>2189</v>
      </c>
      <c r="BL495" t="s">
        <v>734</v>
      </c>
      <c r="BM495" t="s">
        <v>6083</v>
      </c>
      <c r="BN495" t="s">
        <v>74</v>
      </c>
      <c r="BO495" t="s">
        <v>74</v>
      </c>
      <c r="BP495" t="s">
        <v>74</v>
      </c>
      <c r="BQ495" t="s">
        <v>74</v>
      </c>
      <c r="BR495" t="s">
        <v>101</v>
      </c>
      <c r="BS495" t="s">
        <v>6108</v>
      </c>
      <c r="BT495" t="str">
        <f>HYPERLINK("https%3A%2F%2Fwww.webofscience.com%2Fwos%2Fwoscc%2Ffull-record%2FWOS:000081883000014","View Full Record in Web of Science")</f>
        <v>View Full Record in Web of Science</v>
      </c>
    </row>
    <row r="496" spans="1:72" x14ac:dyDescent="0.15">
      <c r="A496" t="s">
        <v>2175</v>
      </c>
      <c r="B496" t="s">
        <v>6109</v>
      </c>
      <c r="C496" t="s">
        <v>74</v>
      </c>
      <c r="D496" t="s">
        <v>6066</v>
      </c>
      <c r="E496" t="s">
        <v>74</v>
      </c>
      <c r="F496" t="s">
        <v>6109</v>
      </c>
      <c r="G496" t="s">
        <v>74</v>
      </c>
      <c r="H496" t="s">
        <v>74</v>
      </c>
      <c r="I496" t="s">
        <v>6110</v>
      </c>
      <c r="J496" t="s">
        <v>6111</v>
      </c>
      <c r="K496" t="s">
        <v>6069</v>
      </c>
      <c r="L496" t="s">
        <v>74</v>
      </c>
      <c r="M496" t="s">
        <v>77</v>
      </c>
      <c r="N496" t="s">
        <v>2180</v>
      </c>
      <c r="O496" t="s">
        <v>6070</v>
      </c>
      <c r="P496" t="s">
        <v>6071</v>
      </c>
      <c r="Q496" t="s">
        <v>6072</v>
      </c>
      <c r="R496" t="s">
        <v>74</v>
      </c>
      <c r="S496" t="s">
        <v>74</v>
      </c>
      <c r="T496" t="s">
        <v>6112</v>
      </c>
      <c r="U496" t="s">
        <v>6113</v>
      </c>
      <c r="V496" t="s">
        <v>6114</v>
      </c>
      <c r="W496" t="s">
        <v>6115</v>
      </c>
      <c r="X496" t="s">
        <v>334</v>
      </c>
      <c r="Y496" t="s">
        <v>6116</v>
      </c>
      <c r="Z496" t="s">
        <v>74</v>
      </c>
      <c r="AA496" t="s">
        <v>74</v>
      </c>
      <c r="AB496" t="s">
        <v>74</v>
      </c>
      <c r="AC496" t="s">
        <v>74</v>
      </c>
      <c r="AD496" t="s">
        <v>74</v>
      </c>
      <c r="AE496" t="s">
        <v>74</v>
      </c>
      <c r="AF496" t="s">
        <v>74</v>
      </c>
      <c r="AG496">
        <v>68</v>
      </c>
      <c r="AH496">
        <v>9</v>
      </c>
      <c r="AI496">
        <v>11</v>
      </c>
      <c r="AJ496">
        <v>0</v>
      </c>
      <c r="AK496">
        <v>3</v>
      </c>
      <c r="AL496" t="s">
        <v>6078</v>
      </c>
      <c r="AM496" t="s">
        <v>6079</v>
      </c>
      <c r="AN496" t="s">
        <v>6080</v>
      </c>
      <c r="AO496" t="s">
        <v>6081</v>
      </c>
      <c r="AP496" t="s">
        <v>74</v>
      </c>
      <c r="AQ496" t="s">
        <v>74</v>
      </c>
      <c r="AR496" t="s">
        <v>6082</v>
      </c>
      <c r="AS496" t="s">
        <v>6117</v>
      </c>
      <c r="AT496" t="s">
        <v>74</v>
      </c>
      <c r="AU496">
        <v>1998</v>
      </c>
      <c r="AV496" t="s">
        <v>74</v>
      </c>
      <c r="AW496">
        <v>5</v>
      </c>
      <c r="AX496" t="s">
        <v>74</v>
      </c>
      <c r="AY496" t="s">
        <v>74</v>
      </c>
      <c r="AZ496" t="s">
        <v>74</v>
      </c>
      <c r="BA496" t="s">
        <v>74</v>
      </c>
      <c r="BB496">
        <v>9</v>
      </c>
      <c r="BC496">
        <v>18</v>
      </c>
      <c r="BD496" t="s">
        <v>74</v>
      </c>
      <c r="BE496" t="s">
        <v>74</v>
      </c>
      <c r="BF496" t="s">
        <v>74</v>
      </c>
      <c r="BG496" t="s">
        <v>74</v>
      </c>
      <c r="BH496" t="s">
        <v>74</v>
      </c>
      <c r="BI496">
        <v>10</v>
      </c>
      <c r="BJ496" t="s">
        <v>734</v>
      </c>
      <c r="BK496" t="s">
        <v>2189</v>
      </c>
      <c r="BL496" t="s">
        <v>734</v>
      </c>
      <c r="BM496" t="s">
        <v>6083</v>
      </c>
      <c r="BN496" t="s">
        <v>74</v>
      </c>
      <c r="BO496" t="s">
        <v>74</v>
      </c>
      <c r="BP496" t="s">
        <v>74</v>
      </c>
      <c r="BQ496" t="s">
        <v>74</v>
      </c>
      <c r="BR496" t="s">
        <v>101</v>
      </c>
      <c r="BS496" t="s">
        <v>6118</v>
      </c>
      <c r="BT496" t="str">
        <f>HYPERLINK("https%3A%2F%2Fwww.webofscience.com%2Fwos%2Fwoscc%2Ffull-record%2FWOS:000081883000001","View Full Record in Web of Science")</f>
        <v>View Full Record in Web of Science</v>
      </c>
    </row>
    <row r="497" spans="1:72" x14ac:dyDescent="0.15">
      <c r="A497" t="s">
        <v>2175</v>
      </c>
      <c r="B497" t="s">
        <v>6119</v>
      </c>
      <c r="C497" t="s">
        <v>74</v>
      </c>
      <c r="D497" t="s">
        <v>6066</v>
      </c>
      <c r="E497" t="s">
        <v>74</v>
      </c>
      <c r="F497" t="s">
        <v>6119</v>
      </c>
      <c r="G497" t="s">
        <v>74</v>
      </c>
      <c r="H497" t="s">
        <v>74</v>
      </c>
      <c r="I497" t="s">
        <v>6120</v>
      </c>
      <c r="J497" t="s">
        <v>6111</v>
      </c>
      <c r="K497" t="s">
        <v>6069</v>
      </c>
      <c r="L497" t="s">
        <v>74</v>
      </c>
      <c r="M497" t="s">
        <v>77</v>
      </c>
      <c r="N497" t="s">
        <v>2180</v>
      </c>
      <c r="O497" t="s">
        <v>6070</v>
      </c>
      <c r="P497" t="s">
        <v>6071</v>
      </c>
      <c r="Q497" t="s">
        <v>6072</v>
      </c>
      <c r="R497" t="s">
        <v>74</v>
      </c>
      <c r="S497" t="s">
        <v>74</v>
      </c>
      <c r="T497" t="s">
        <v>6121</v>
      </c>
      <c r="U497" t="s">
        <v>74</v>
      </c>
      <c r="V497" t="s">
        <v>6122</v>
      </c>
      <c r="W497" t="s">
        <v>6123</v>
      </c>
      <c r="X497" t="s">
        <v>74</v>
      </c>
      <c r="Y497" t="s">
        <v>6124</v>
      </c>
      <c r="Z497" t="s">
        <v>74</v>
      </c>
      <c r="AA497" t="s">
        <v>6125</v>
      </c>
      <c r="AB497" t="s">
        <v>6126</v>
      </c>
      <c r="AC497" t="s">
        <v>74</v>
      </c>
      <c r="AD497" t="s">
        <v>74</v>
      </c>
      <c r="AE497" t="s">
        <v>74</v>
      </c>
      <c r="AF497" t="s">
        <v>74</v>
      </c>
      <c r="AG497">
        <v>30</v>
      </c>
      <c r="AH497">
        <v>50</v>
      </c>
      <c r="AI497">
        <v>53</v>
      </c>
      <c r="AJ497">
        <v>0</v>
      </c>
      <c r="AK497">
        <v>3</v>
      </c>
      <c r="AL497" t="s">
        <v>6078</v>
      </c>
      <c r="AM497" t="s">
        <v>6079</v>
      </c>
      <c r="AN497" t="s">
        <v>6080</v>
      </c>
      <c r="AO497" t="s">
        <v>6081</v>
      </c>
      <c r="AP497" t="s">
        <v>74</v>
      </c>
      <c r="AQ497" t="s">
        <v>74</v>
      </c>
      <c r="AR497" t="s">
        <v>6082</v>
      </c>
      <c r="AS497" t="s">
        <v>6117</v>
      </c>
      <c r="AT497" t="s">
        <v>74</v>
      </c>
      <c r="AU497">
        <v>1998</v>
      </c>
      <c r="AV497" t="s">
        <v>74</v>
      </c>
      <c r="AW497">
        <v>5</v>
      </c>
      <c r="AX497" t="s">
        <v>74</v>
      </c>
      <c r="AY497" t="s">
        <v>74</v>
      </c>
      <c r="AZ497" t="s">
        <v>74</v>
      </c>
      <c r="BA497" t="s">
        <v>74</v>
      </c>
      <c r="BB497">
        <v>35</v>
      </c>
      <c r="BC497">
        <v>40</v>
      </c>
      <c r="BD497" t="s">
        <v>74</v>
      </c>
      <c r="BE497" t="s">
        <v>74</v>
      </c>
      <c r="BF497" t="s">
        <v>74</v>
      </c>
      <c r="BG497" t="s">
        <v>74</v>
      </c>
      <c r="BH497" t="s">
        <v>74</v>
      </c>
      <c r="BI497">
        <v>6</v>
      </c>
      <c r="BJ497" t="s">
        <v>734</v>
      </c>
      <c r="BK497" t="s">
        <v>2189</v>
      </c>
      <c r="BL497" t="s">
        <v>734</v>
      </c>
      <c r="BM497" t="s">
        <v>6083</v>
      </c>
      <c r="BN497" t="s">
        <v>74</v>
      </c>
      <c r="BO497" t="s">
        <v>74</v>
      </c>
      <c r="BP497" t="s">
        <v>74</v>
      </c>
      <c r="BQ497" t="s">
        <v>74</v>
      </c>
      <c r="BR497" t="s">
        <v>101</v>
      </c>
      <c r="BS497" t="s">
        <v>6127</v>
      </c>
      <c r="BT497" t="str">
        <f>HYPERLINK("https%3A%2F%2Fwww.webofscience.com%2Fwos%2Fwoscc%2Ffull-record%2FWOS:000081883000003","View Full Record in Web of Science")</f>
        <v>View Full Record in Web of Science</v>
      </c>
    </row>
    <row r="498" spans="1:72" x14ac:dyDescent="0.15">
      <c r="A498" t="s">
        <v>2175</v>
      </c>
      <c r="B498" t="s">
        <v>6128</v>
      </c>
      <c r="C498" t="s">
        <v>74</v>
      </c>
      <c r="D498" t="s">
        <v>6066</v>
      </c>
      <c r="E498" t="s">
        <v>74</v>
      </c>
      <c r="F498" t="s">
        <v>6128</v>
      </c>
      <c r="G498" t="s">
        <v>74</v>
      </c>
      <c r="H498" t="s">
        <v>74</v>
      </c>
      <c r="I498" t="s">
        <v>6129</v>
      </c>
      <c r="J498" t="s">
        <v>6111</v>
      </c>
      <c r="K498" t="s">
        <v>6069</v>
      </c>
      <c r="L498" t="s">
        <v>74</v>
      </c>
      <c r="M498" t="s">
        <v>5443</v>
      </c>
      <c r="N498" t="s">
        <v>2180</v>
      </c>
      <c r="O498" t="s">
        <v>6070</v>
      </c>
      <c r="P498" t="s">
        <v>6071</v>
      </c>
      <c r="Q498" t="s">
        <v>6072</v>
      </c>
      <c r="R498" t="s">
        <v>74</v>
      </c>
      <c r="S498" t="s">
        <v>74</v>
      </c>
      <c r="T498" t="s">
        <v>6130</v>
      </c>
      <c r="U498" t="s">
        <v>6131</v>
      </c>
      <c r="V498" t="s">
        <v>6132</v>
      </c>
      <c r="W498" t="s">
        <v>333</v>
      </c>
      <c r="X498" t="s">
        <v>334</v>
      </c>
      <c r="Y498" t="s">
        <v>6133</v>
      </c>
      <c r="Z498" t="s">
        <v>6134</v>
      </c>
      <c r="AA498" t="s">
        <v>74</v>
      </c>
      <c r="AB498" t="s">
        <v>74</v>
      </c>
      <c r="AC498" t="s">
        <v>74</v>
      </c>
      <c r="AD498" t="s">
        <v>74</v>
      </c>
      <c r="AE498" t="s">
        <v>74</v>
      </c>
      <c r="AF498" t="s">
        <v>74</v>
      </c>
      <c r="AG498">
        <v>41</v>
      </c>
      <c r="AH498">
        <v>25</v>
      </c>
      <c r="AI498">
        <v>26</v>
      </c>
      <c r="AJ498">
        <v>0</v>
      </c>
      <c r="AK498">
        <v>4</v>
      </c>
      <c r="AL498" t="s">
        <v>6078</v>
      </c>
      <c r="AM498" t="s">
        <v>6079</v>
      </c>
      <c r="AN498" t="s">
        <v>6080</v>
      </c>
      <c r="AO498" t="s">
        <v>6081</v>
      </c>
      <c r="AP498" t="s">
        <v>74</v>
      </c>
      <c r="AQ498" t="s">
        <v>74</v>
      </c>
      <c r="AR498" t="s">
        <v>6082</v>
      </c>
      <c r="AS498" t="s">
        <v>6117</v>
      </c>
      <c r="AT498" t="s">
        <v>74</v>
      </c>
      <c r="AU498">
        <v>1998</v>
      </c>
      <c r="AV498" t="s">
        <v>74</v>
      </c>
      <c r="AW498">
        <v>5</v>
      </c>
      <c r="AX498" t="s">
        <v>74</v>
      </c>
      <c r="AY498" t="s">
        <v>74</v>
      </c>
      <c r="AZ498" t="s">
        <v>74</v>
      </c>
      <c r="BA498" t="s">
        <v>74</v>
      </c>
      <c r="BB498">
        <v>41</v>
      </c>
      <c r="BC498">
        <v>50</v>
      </c>
      <c r="BD498" t="s">
        <v>74</v>
      </c>
      <c r="BE498" t="s">
        <v>74</v>
      </c>
      <c r="BF498" t="s">
        <v>74</v>
      </c>
      <c r="BG498" t="s">
        <v>74</v>
      </c>
      <c r="BH498" t="s">
        <v>74</v>
      </c>
      <c r="BI498">
        <v>10</v>
      </c>
      <c r="BJ498" t="s">
        <v>734</v>
      </c>
      <c r="BK498" t="s">
        <v>2189</v>
      </c>
      <c r="BL498" t="s">
        <v>734</v>
      </c>
      <c r="BM498" t="s">
        <v>6083</v>
      </c>
      <c r="BN498" t="s">
        <v>74</v>
      </c>
      <c r="BO498" t="s">
        <v>74</v>
      </c>
      <c r="BP498" t="s">
        <v>74</v>
      </c>
      <c r="BQ498" t="s">
        <v>74</v>
      </c>
      <c r="BR498" t="s">
        <v>101</v>
      </c>
      <c r="BS498" t="s">
        <v>6135</v>
      </c>
      <c r="BT498" t="str">
        <f>HYPERLINK("https%3A%2F%2Fwww.webofscience.com%2Fwos%2Fwoscc%2Ffull-record%2FWOS:000081883000004","View Full Record in Web of Science")</f>
        <v>View Full Record in Web of Science</v>
      </c>
    </row>
    <row r="499" spans="1:72" x14ac:dyDescent="0.15">
      <c r="A499" t="s">
        <v>2175</v>
      </c>
      <c r="B499" t="s">
        <v>6136</v>
      </c>
      <c r="C499" t="s">
        <v>74</v>
      </c>
      <c r="D499" t="s">
        <v>6066</v>
      </c>
      <c r="E499" t="s">
        <v>74</v>
      </c>
      <c r="F499" t="s">
        <v>6136</v>
      </c>
      <c r="G499" t="s">
        <v>74</v>
      </c>
      <c r="H499" t="s">
        <v>74</v>
      </c>
      <c r="I499" t="s">
        <v>6137</v>
      </c>
      <c r="J499" t="s">
        <v>6111</v>
      </c>
      <c r="K499" t="s">
        <v>6069</v>
      </c>
      <c r="L499" t="s">
        <v>74</v>
      </c>
      <c r="M499" t="s">
        <v>5443</v>
      </c>
      <c r="N499" t="s">
        <v>2180</v>
      </c>
      <c r="O499" t="s">
        <v>6070</v>
      </c>
      <c r="P499" t="s">
        <v>6071</v>
      </c>
      <c r="Q499" t="s">
        <v>6072</v>
      </c>
      <c r="R499" t="s">
        <v>74</v>
      </c>
      <c r="S499" t="s">
        <v>74</v>
      </c>
      <c r="T499" t="s">
        <v>6138</v>
      </c>
      <c r="U499" t="s">
        <v>74</v>
      </c>
      <c r="V499" t="s">
        <v>6139</v>
      </c>
      <c r="W499" t="s">
        <v>6140</v>
      </c>
      <c r="X499" t="s">
        <v>74</v>
      </c>
      <c r="Y499" t="s">
        <v>6141</v>
      </c>
      <c r="Z499" t="s">
        <v>6142</v>
      </c>
      <c r="AA499" t="s">
        <v>74</v>
      </c>
      <c r="AB499" t="s">
        <v>74</v>
      </c>
      <c r="AC499" t="s">
        <v>74</v>
      </c>
      <c r="AD499" t="s">
        <v>74</v>
      </c>
      <c r="AE499" t="s">
        <v>74</v>
      </c>
      <c r="AF499" t="s">
        <v>74</v>
      </c>
      <c r="AG499">
        <v>24</v>
      </c>
      <c r="AH499">
        <v>6</v>
      </c>
      <c r="AI499">
        <v>6</v>
      </c>
      <c r="AJ499">
        <v>0</v>
      </c>
      <c r="AK499">
        <v>1</v>
      </c>
      <c r="AL499" t="s">
        <v>6078</v>
      </c>
      <c r="AM499" t="s">
        <v>6079</v>
      </c>
      <c r="AN499" t="s">
        <v>6080</v>
      </c>
      <c r="AO499" t="s">
        <v>6081</v>
      </c>
      <c r="AP499" t="s">
        <v>74</v>
      </c>
      <c r="AQ499" t="s">
        <v>74</v>
      </c>
      <c r="AR499" t="s">
        <v>6082</v>
      </c>
      <c r="AS499" t="s">
        <v>6117</v>
      </c>
      <c r="AT499" t="s">
        <v>74</v>
      </c>
      <c r="AU499">
        <v>1998</v>
      </c>
      <c r="AV499" t="s">
        <v>74</v>
      </c>
      <c r="AW499">
        <v>5</v>
      </c>
      <c r="AX499" t="s">
        <v>74</v>
      </c>
      <c r="AY499" t="s">
        <v>74</v>
      </c>
      <c r="AZ499" t="s">
        <v>74</v>
      </c>
      <c r="BA499" t="s">
        <v>74</v>
      </c>
      <c r="BB499">
        <v>51</v>
      </c>
      <c r="BC499">
        <v>54</v>
      </c>
      <c r="BD499" t="s">
        <v>74</v>
      </c>
      <c r="BE499" t="s">
        <v>74</v>
      </c>
      <c r="BF499" t="s">
        <v>74</v>
      </c>
      <c r="BG499" t="s">
        <v>74</v>
      </c>
      <c r="BH499" t="s">
        <v>74</v>
      </c>
      <c r="BI499">
        <v>4</v>
      </c>
      <c r="BJ499" t="s">
        <v>734</v>
      </c>
      <c r="BK499" t="s">
        <v>2189</v>
      </c>
      <c r="BL499" t="s">
        <v>734</v>
      </c>
      <c r="BM499" t="s">
        <v>6083</v>
      </c>
      <c r="BN499" t="s">
        <v>74</v>
      </c>
      <c r="BO499" t="s">
        <v>74</v>
      </c>
      <c r="BP499" t="s">
        <v>74</v>
      </c>
      <c r="BQ499" t="s">
        <v>74</v>
      </c>
      <c r="BR499" t="s">
        <v>101</v>
      </c>
      <c r="BS499" t="s">
        <v>6143</v>
      </c>
      <c r="BT499" t="str">
        <f>HYPERLINK("https%3A%2F%2Fwww.webofscience.com%2Fwos%2Fwoscc%2Ffull-record%2FWOS:000081883000005","View Full Record in Web of Science")</f>
        <v>View Full Record in Web of Science</v>
      </c>
    </row>
    <row r="500" spans="1:72" x14ac:dyDescent="0.15">
      <c r="A500" t="s">
        <v>2175</v>
      </c>
      <c r="B500" t="s">
        <v>6144</v>
      </c>
      <c r="C500" t="s">
        <v>74</v>
      </c>
      <c r="D500" t="s">
        <v>6066</v>
      </c>
      <c r="E500" t="s">
        <v>74</v>
      </c>
      <c r="F500" t="s">
        <v>6144</v>
      </c>
      <c r="G500" t="s">
        <v>74</v>
      </c>
      <c r="H500" t="s">
        <v>74</v>
      </c>
      <c r="I500" t="s">
        <v>6145</v>
      </c>
      <c r="J500" t="s">
        <v>6111</v>
      </c>
      <c r="K500" t="s">
        <v>6069</v>
      </c>
      <c r="L500" t="s">
        <v>74</v>
      </c>
      <c r="M500" t="s">
        <v>5443</v>
      </c>
      <c r="N500" t="s">
        <v>2180</v>
      </c>
      <c r="O500" t="s">
        <v>6070</v>
      </c>
      <c r="P500" t="s">
        <v>6071</v>
      </c>
      <c r="Q500" t="s">
        <v>6072</v>
      </c>
      <c r="R500" t="s">
        <v>74</v>
      </c>
      <c r="S500" t="s">
        <v>74</v>
      </c>
      <c r="T500" t="s">
        <v>6146</v>
      </c>
      <c r="U500" t="s">
        <v>74</v>
      </c>
      <c r="V500" t="s">
        <v>6147</v>
      </c>
      <c r="W500" t="s">
        <v>6075</v>
      </c>
      <c r="X500" t="s">
        <v>74</v>
      </c>
      <c r="Y500" t="s">
        <v>6148</v>
      </c>
      <c r="Z500" t="s">
        <v>74</v>
      </c>
      <c r="AA500" t="s">
        <v>6149</v>
      </c>
      <c r="AB500" t="s">
        <v>74</v>
      </c>
      <c r="AC500" t="s">
        <v>74</v>
      </c>
      <c r="AD500" t="s">
        <v>74</v>
      </c>
      <c r="AE500" t="s">
        <v>74</v>
      </c>
      <c r="AF500" t="s">
        <v>74</v>
      </c>
      <c r="AG500">
        <v>18</v>
      </c>
      <c r="AH500">
        <v>5</v>
      </c>
      <c r="AI500">
        <v>5</v>
      </c>
      <c r="AJ500">
        <v>0</v>
      </c>
      <c r="AK500">
        <v>1</v>
      </c>
      <c r="AL500" t="s">
        <v>6078</v>
      </c>
      <c r="AM500" t="s">
        <v>6079</v>
      </c>
      <c r="AN500" t="s">
        <v>6080</v>
      </c>
      <c r="AO500" t="s">
        <v>6081</v>
      </c>
      <c r="AP500" t="s">
        <v>74</v>
      </c>
      <c r="AQ500" t="s">
        <v>74</v>
      </c>
      <c r="AR500" t="s">
        <v>6082</v>
      </c>
      <c r="AS500" t="s">
        <v>6117</v>
      </c>
      <c r="AT500" t="s">
        <v>74</v>
      </c>
      <c r="AU500">
        <v>1998</v>
      </c>
      <c r="AV500" t="s">
        <v>74</v>
      </c>
      <c r="AW500">
        <v>5</v>
      </c>
      <c r="AX500" t="s">
        <v>74</v>
      </c>
      <c r="AY500" t="s">
        <v>74</v>
      </c>
      <c r="AZ500" t="s">
        <v>74</v>
      </c>
      <c r="BA500" t="s">
        <v>74</v>
      </c>
      <c r="BB500">
        <v>55</v>
      </c>
      <c r="BC500">
        <v>60</v>
      </c>
      <c r="BD500" t="s">
        <v>74</v>
      </c>
      <c r="BE500" t="s">
        <v>74</v>
      </c>
      <c r="BF500" t="s">
        <v>74</v>
      </c>
      <c r="BG500" t="s">
        <v>74</v>
      </c>
      <c r="BH500" t="s">
        <v>74</v>
      </c>
      <c r="BI500">
        <v>6</v>
      </c>
      <c r="BJ500" t="s">
        <v>734</v>
      </c>
      <c r="BK500" t="s">
        <v>2189</v>
      </c>
      <c r="BL500" t="s">
        <v>734</v>
      </c>
      <c r="BM500" t="s">
        <v>6083</v>
      </c>
      <c r="BN500" t="s">
        <v>74</v>
      </c>
      <c r="BO500" t="s">
        <v>74</v>
      </c>
      <c r="BP500" t="s">
        <v>74</v>
      </c>
      <c r="BQ500" t="s">
        <v>74</v>
      </c>
      <c r="BR500" t="s">
        <v>101</v>
      </c>
      <c r="BS500" t="s">
        <v>6150</v>
      </c>
      <c r="BT500" t="str">
        <f>HYPERLINK("https%3A%2F%2Fwww.webofscience.com%2Fwos%2Fwoscc%2Ffull-record%2FWOS:000081883000006","View Full Record in Web of Science")</f>
        <v>View Full Record in Web of Science</v>
      </c>
    </row>
    <row r="501" spans="1:72" x14ac:dyDescent="0.15">
      <c r="A501" t="s">
        <v>2175</v>
      </c>
      <c r="B501" t="s">
        <v>6151</v>
      </c>
      <c r="C501" t="s">
        <v>74</v>
      </c>
      <c r="D501" t="s">
        <v>6066</v>
      </c>
      <c r="E501" t="s">
        <v>74</v>
      </c>
      <c r="F501" t="s">
        <v>6151</v>
      </c>
      <c r="G501" t="s">
        <v>74</v>
      </c>
      <c r="H501" t="s">
        <v>74</v>
      </c>
      <c r="I501" t="s">
        <v>6152</v>
      </c>
      <c r="J501" t="s">
        <v>6111</v>
      </c>
      <c r="K501" t="s">
        <v>6069</v>
      </c>
      <c r="L501" t="s">
        <v>74</v>
      </c>
      <c r="M501" t="s">
        <v>77</v>
      </c>
      <c r="N501" t="s">
        <v>2180</v>
      </c>
      <c r="O501" t="s">
        <v>6070</v>
      </c>
      <c r="P501" t="s">
        <v>6071</v>
      </c>
      <c r="Q501" t="s">
        <v>6072</v>
      </c>
      <c r="R501" t="s">
        <v>74</v>
      </c>
      <c r="S501" t="s">
        <v>74</v>
      </c>
      <c r="T501" t="s">
        <v>6153</v>
      </c>
      <c r="U501" t="s">
        <v>74</v>
      </c>
      <c r="V501" t="s">
        <v>6154</v>
      </c>
      <c r="W501" t="s">
        <v>6155</v>
      </c>
      <c r="X501" t="s">
        <v>74</v>
      </c>
      <c r="Y501" t="s">
        <v>6156</v>
      </c>
      <c r="Z501" t="s">
        <v>74</v>
      </c>
      <c r="AA501" t="s">
        <v>74</v>
      </c>
      <c r="AB501" t="s">
        <v>74</v>
      </c>
      <c r="AC501" t="s">
        <v>74</v>
      </c>
      <c r="AD501" t="s">
        <v>74</v>
      </c>
      <c r="AE501" t="s">
        <v>74</v>
      </c>
      <c r="AF501" t="s">
        <v>74</v>
      </c>
      <c r="AG501">
        <v>18</v>
      </c>
      <c r="AH501">
        <v>1</v>
      </c>
      <c r="AI501">
        <v>2</v>
      </c>
      <c r="AJ501">
        <v>0</v>
      </c>
      <c r="AK501">
        <v>1</v>
      </c>
      <c r="AL501" t="s">
        <v>6078</v>
      </c>
      <c r="AM501" t="s">
        <v>6079</v>
      </c>
      <c r="AN501" t="s">
        <v>6080</v>
      </c>
      <c r="AO501" t="s">
        <v>6081</v>
      </c>
      <c r="AP501" t="s">
        <v>74</v>
      </c>
      <c r="AQ501" t="s">
        <v>74</v>
      </c>
      <c r="AR501" t="s">
        <v>6082</v>
      </c>
      <c r="AS501" t="s">
        <v>6117</v>
      </c>
      <c r="AT501" t="s">
        <v>74</v>
      </c>
      <c r="AU501">
        <v>1998</v>
      </c>
      <c r="AV501" t="s">
        <v>74</v>
      </c>
      <c r="AW501">
        <v>5</v>
      </c>
      <c r="AX501" t="s">
        <v>74</v>
      </c>
      <c r="AY501" t="s">
        <v>74</v>
      </c>
      <c r="AZ501" t="s">
        <v>74</v>
      </c>
      <c r="BA501" t="s">
        <v>74</v>
      </c>
      <c r="BB501">
        <v>79</v>
      </c>
      <c r="BC501">
        <v>84</v>
      </c>
      <c r="BD501" t="s">
        <v>74</v>
      </c>
      <c r="BE501" t="s">
        <v>74</v>
      </c>
      <c r="BF501" t="s">
        <v>74</v>
      </c>
      <c r="BG501" t="s">
        <v>74</v>
      </c>
      <c r="BH501" t="s">
        <v>74</v>
      </c>
      <c r="BI501">
        <v>6</v>
      </c>
      <c r="BJ501" t="s">
        <v>734</v>
      </c>
      <c r="BK501" t="s">
        <v>2189</v>
      </c>
      <c r="BL501" t="s">
        <v>734</v>
      </c>
      <c r="BM501" t="s">
        <v>6083</v>
      </c>
      <c r="BN501" t="s">
        <v>74</v>
      </c>
      <c r="BO501" t="s">
        <v>74</v>
      </c>
      <c r="BP501" t="s">
        <v>74</v>
      </c>
      <c r="BQ501" t="s">
        <v>74</v>
      </c>
      <c r="BR501" t="s">
        <v>101</v>
      </c>
      <c r="BS501" t="s">
        <v>6157</v>
      </c>
      <c r="BT501" t="str">
        <f>HYPERLINK("https%3A%2F%2Fwww.webofscience.com%2Fwos%2Fwoscc%2Ffull-record%2FWOS:000081883000009","View Full Record in Web of Science")</f>
        <v>View Full Record in Web of Science</v>
      </c>
    </row>
    <row r="502" spans="1:72" x14ac:dyDescent="0.15">
      <c r="A502" t="s">
        <v>2175</v>
      </c>
      <c r="B502" t="s">
        <v>6158</v>
      </c>
      <c r="C502" t="s">
        <v>74</v>
      </c>
      <c r="D502" t="s">
        <v>6066</v>
      </c>
      <c r="E502" t="s">
        <v>74</v>
      </c>
      <c r="F502" t="s">
        <v>6158</v>
      </c>
      <c r="G502" t="s">
        <v>74</v>
      </c>
      <c r="H502" t="s">
        <v>74</v>
      </c>
      <c r="I502" t="s">
        <v>6159</v>
      </c>
      <c r="J502" t="s">
        <v>6111</v>
      </c>
      <c r="K502" t="s">
        <v>6069</v>
      </c>
      <c r="L502" t="s">
        <v>74</v>
      </c>
      <c r="M502" t="s">
        <v>5443</v>
      </c>
      <c r="N502" t="s">
        <v>2180</v>
      </c>
      <c r="O502" t="s">
        <v>6070</v>
      </c>
      <c r="P502" t="s">
        <v>6071</v>
      </c>
      <c r="Q502" t="s">
        <v>6072</v>
      </c>
      <c r="R502" t="s">
        <v>74</v>
      </c>
      <c r="S502" t="s">
        <v>74</v>
      </c>
      <c r="T502" t="s">
        <v>6160</v>
      </c>
      <c r="U502" t="s">
        <v>74</v>
      </c>
      <c r="V502" t="s">
        <v>6161</v>
      </c>
      <c r="W502" t="s">
        <v>6162</v>
      </c>
      <c r="X502" t="s">
        <v>74</v>
      </c>
      <c r="Y502" t="s">
        <v>6163</v>
      </c>
      <c r="Z502" t="s">
        <v>74</v>
      </c>
      <c r="AA502" t="s">
        <v>74</v>
      </c>
      <c r="AB502" t="s">
        <v>74</v>
      </c>
      <c r="AC502" t="s">
        <v>74</v>
      </c>
      <c r="AD502" t="s">
        <v>74</v>
      </c>
      <c r="AE502" t="s">
        <v>74</v>
      </c>
      <c r="AF502" t="s">
        <v>74</v>
      </c>
      <c r="AG502">
        <v>43</v>
      </c>
      <c r="AH502">
        <v>7</v>
      </c>
      <c r="AI502">
        <v>7</v>
      </c>
      <c r="AJ502">
        <v>0</v>
      </c>
      <c r="AK502">
        <v>0</v>
      </c>
      <c r="AL502" t="s">
        <v>6078</v>
      </c>
      <c r="AM502" t="s">
        <v>6079</v>
      </c>
      <c r="AN502" t="s">
        <v>6080</v>
      </c>
      <c r="AO502" t="s">
        <v>6081</v>
      </c>
      <c r="AP502" t="s">
        <v>74</v>
      </c>
      <c r="AQ502" t="s">
        <v>74</v>
      </c>
      <c r="AR502" t="s">
        <v>6082</v>
      </c>
      <c r="AS502" t="s">
        <v>6117</v>
      </c>
      <c r="AT502" t="s">
        <v>74</v>
      </c>
      <c r="AU502">
        <v>1998</v>
      </c>
      <c r="AV502" t="s">
        <v>74</v>
      </c>
      <c r="AW502">
        <v>5</v>
      </c>
      <c r="AX502" t="s">
        <v>74</v>
      </c>
      <c r="AY502" t="s">
        <v>74</v>
      </c>
      <c r="AZ502" t="s">
        <v>74</v>
      </c>
      <c r="BA502" t="s">
        <v>74</v>
      </c>
      <c r="BB502">
        <v>95</v>
      </c>
      <c r="BC502">
        <v>107</v>
      </c>
      <c r="BD502" t="s">
        <v>74</v>
      </c>
      <c r="BE502" t="s">
        <v>74</v>
      </c>
      <c r="BF502" t="s">
        <v>74</v>
      </c>
      <c r="BG502" t="s">
        <v>74</v>
      </c>
      <c r="BH502" t="s">
        <v>74</v>
      </c>
      <c r="BI502">
        <v>13</v>
      </c>
      <c r="BJ502" t="s">
        <v>734</v>
      </c>
      <c r="BK502" t="s">
        <v>2189</v>
      </c>
      <c r="BL502" t="s">
        <v>734</v>
      </c>
      <c r="BM502" t="s">
        <v>6083</v>
      </c>
      <c r="BN502" t="s">
        <v>74</v>
      </c>
      <c r="BO502" t="s">
        <v>74</v>
      </c>
      <c r="BP502" t="s">
        <v>74</v>
      </c>
      <c r="BQ502" t="s">
        <v>74</v>
      </c>
      <c r="BR502" t="s">
        <v>101</v>
      </c>
      <c r="BS502" t="s">
        <v>6164</v>
      </c>
      <c r="BT502" t="str">
        <f>HYPERLINK("https%3A%2F%2Fwww.webofscience.com%2Fwos%2Fwoscc%2Ffull-record%2FWOS:000081883000011","View Full Record in Web of Science")</f>
        <v>View Full Record in Web of Science</v>
      </c>
    </row>
    <row r="503" spans="1:72" x14ac:dyDescent="0.15">
      <c r="A503" t="s">
        <v>2175</v>
      </c>
      <c r="B503" t="s">
        <v>6165</v>
      </c>
      <c r="C503" t="s">
        <v>74</v>
      </c>
      <c r="D503" t="s">
        <v>6066</v>
      </c>
      <c r="E503" t="s">
        <v>74</v>
      </c>
      <c r="F503" t="s">
        <v>6165</v>
      </c>
      <c r="G503" t="s">
        <v>74</v>
      </c>
      <c r="H503" t="s">
        <v>74</v>
      </c>
      <c r="I503" t="s">
        <v>6166</v>
      </c>
      <c r="J503" t="s">
        <v>6111</v>
      </c>
      <c r="K503" t="s">
        <v>6069</v>
      </c>
      <c r="L503" t="s">
        <v>74</v>
      </c>
      <c r="M503" t="s">
        <v>5443</v>
      </c>
      <c r="N503" t="s">
        <v>2180</v>
      </c>
      <c r="O503" t="s">
        <v>6070</v>
      </c>
      <c r="P503" t="s">
        <v>6071</v>
      </c>
      <c r="Q503" t="s">
        <v>6072</v>
      </c>
      <c r="R503" t="s">
        <v>74</v>
      </c>
      <c r="S503" t="s">
        <v>74</v>
      </c>
      <c r="T503" t="s">
        <v>6167</v>
      </c>
      <c r="U503" t="s">
        <v>6168</v>
      </c>
      <c r="V503" t="s">
        <v>6169</v>
      </c>
      <c r="W503" t="s">
        <v>6170</v>
      </c>
      <c r="X503" t="s">
        <v>6171</v>
      </c>
      <c r="Y503" t="s">
        <v>6172</v>
      </c>
      <c r="Z503" t="s">
        <v>74</v>
      </c>
      <c r="AA503" t="s">
        <v>74</v>
      </c>
      <c r="AB503" t="s">
        <v>74</v>
      </c>
      <c r="AC503" t="s">
        <v>74</v>
      </c>
      <c r="AD503" t="s">
        <v>74</v>
      </c>
      <c r="AE503" t="s">
        <v>74</v>
      </c>
      <c r="AF503" t="s">
        <v>74</v>
      </c>
      <c r="AG503">
        <v>17</v>
      </c>
      <c r="AH503">
        <v>4</v>
      </c>
      <c r="AI503">
        <v>4</v>
      </c>
      <c r="AJ503">
        <v>0</v>
      </c>
      <c r="AK503">
        <v>1</v>
      </c>
      <c r="AL503" t="s">
        <v>6078</v>
      </c>
      <c r="AM503" t="s">
        <v>6079</v>
      </c>
      <c r="AN503" t="s">
        <v>6080</v>
      </c>
      <c r="AO503" t="s">
        <v>6081</v>
      </c>
      <c r="AP503" t="s">
        <v>74</v>
      </c>
      <c r="AQ503" t="s">
        <v>74</v>
      </c>
      <c r="AR503" t="s">
        <v>6082</v>
      </c>
      <c r="AS503" t="s">
        <v>6117</v>
      </c>
      <c r="AT503" t="s">
        <v>74</v>
      </c>
      <c r="AU503">
        <v>1998</v>
      </c>
      <c r="AV503" t="s">
        <v>74</v>
      </c>
      <c r="AW503">
        <v>5</v>
      </c>
      <c r="AX503" t="s">
        <v>74</v>
      </c>
      <c r="AY503" t="s">
        <v>74</v>
      </c>
      <c r="AZ503" t="s">
        <v>74</v>
      </c>
      <c r="BA503" t="s">
        <v>74</v>
      </c>
      <c r="BB503">
        <v>147</v>
      </c>
      <c r="BC503">
        <v>153</v>
      </c>
      <c r="BD503" t="s">
        <v>74</v>
      </c>
      <c r="BE503" t="s">
        <v>74</v>
      </c>
      <c r="BF503" t="s">
        <v>74</v>
      </c>
      <c r="BG503" t="s">
        <v>74</v>
      </c>
      <c r="BH503" t="s">
        <v>74</v>
      </c>
      <c r="BI503">
        <v>7</v>
      </c>
      <c r="BJ503" t="s">
        <v>734</v>
      </c>
      <c r="BK503" t="s">
        <v>2189</v>
      </c>
      <c r="BL503" t="s">
        <v>734</v>
      </c>
      <c r="BM503" t="s">
        <v>6083</v>
      </c>
      <c r="BN503" t="s">
        <v>74</v>
      </c>
      <c r="BO503" t="s">
        <v>74</v>
      </c>
      <c r="BP503" t="s">
        <v>74</v>
      </c>
      <c r="BQ503" t="s">
        <v>74</v>
      </c>
      <c r="BR503" t="s">
        <v>101</v>
      </c>
      <c r="BS503" t="s">
        <v>6173</v>
      </c>
      <c r="BT503" t="str">
        <f>HYPERLINK("https%3A%2F%2Fwww.webofscience.com%2Fwos%2Fwoscc%2Ffull-record%2FWOS:000081883000015","View Full Record in Web of Science")</f>
        <v>View Full Record in Web of Science</v>
      </c>
    </row>
    <row r="504" spans="1:72" x14ac:dyDescent="0.15">
      <c r="A504" t="s">
        <v>2175</v>
      </c>
      <c r="B504" t="s">
        <v>6174</v>
      </c>
      <c r="C504" t="s">
        <v>74</v>
      </c>
      <c r="D504" t="s">
        <v>6066</v>
      </c>
      <c r="E504" t="s">
        <v>74</v>
      </c>
      <c r="F504" t="s">
        <v>6174</v>
      </c>
      <c r="G504" t="s">
        <v>74</v>
      </c>
      <c r="H504" t="s">
        <v>74</v>
      </c>
      <c r="I504" t="s">
        <v>6175</v>
      </c>
      <c r="J504" t="s">
        <v>6111</v>
      </c>
      <c r="K504" t="s">
        <v>6069</v>
      </c>
      <c r="L504" t="s">
        <v>74</v>
      </c>
      <c r="M504" t="s">
        <v>5443</v>
      </c>
      <c r="N504" t="s">
        <v>2180</v>
      </c>
      <c r="O504" t="s">
        <v>6070</v>
      </c>
      <c r="P504" t="s">
        <v>6071</v>
      </c>
      <c r="Q504" t="s">
        <v>6072</v>
      </c>
      <c r="R504" t="s">
        <v>74</v>
      </c>
      <c r="S504" t="s">
        <v>74</v>
      </c>
      <c r="T504" t="s">
        <v>6176</v>
      </c>
      <c r="U504" t="s">
        <v>6177</v>
      </c>
      <c r="V504" t="s">
        <v>6178</v>
      </c>
      <c r="W504" t="s">
        <v>6179</v>
      </c>
      <c r="X504" t="s">
        <v>6171</v>
      </c>
      <c r="Y504" t="s">
        <v>6180</v>
      </c>
      <c r="Z504" t="s">
        <v>74</v>
      </c>
      <c r="AA504" t="s">
        <v>74</v>
      </c>
      <c r="AB504" t="s">
        <v>74</v>
      </c>
      <c r="AC504" t="s">
        <v>74</v>
      </c>
      <c r="AD504" t="s">
        <v>74</v>
      </c>
      <c r="AE504" t="s">
        <v>74</v>
      </c>
      <c r="AF504" t="s">
        <v>74</v>
      </c>
      <c r="AG504">
        <v>40</v>
      </c>
      <c r="AH504">
        <v>28</v>
      </c>
      <c r="AI504">
        <v>28</v>
      </c>
      <c r="AJ504">
        <v>0</v>
      </c>
      <c r="AK504">
        <v>0</v>
      </c>
      <c r="AL504" t="s">
        <v>6078</v>
      </c>
      <c r="AM504" t="s">
        <v>6079</v>
      </c>
      <c r="AN504" t="s">
        <v>6080</v>
      </c>
      <c r="AO504" t="s">
        <v>6081</v>
      </c>
      <c r="AP504" t="s">
        <v>74</v>
      </c>
      <c r="AQ504" t="s">
        <v>74</v>
      </c>
      <c r="AR504" t="s">
        <v>6082</v>
      </c>
      <c r="AS504" t="s">
        <v>6117</v>
      </c>
      <c r="AT504" t="s">
        <v>74</v>
      </c>
      <c r="AU504">
        <v>1998</v>
      </c>
      <c r="AV504" t="s">
        <v>74</v>
      </c>
      <c r="AW504">
        <v>5</v>
      </c>
      <c r="AX504" t="s">
        <v>74</v>
      </c>
      <c r="AY504" t="s">
        <v>74</v>
      </c>
      <c r="AZ504" t="s">
        <v>74</v>
      </c>
      <c r="BA504" t="s">
        <v>74</v>
      </c>
      <c r="BB504">
        <v>155</v>
      </c>
      <c r="BC504">
        <v>162</v>
      </c>
      <c r="BD504" t="s">
        <v>74</v>
      </c>
      <c r="BE504" t="s">
        <v>74</v>
      </c>
      <c r="BF504" t="s">
        <v>74</v>
      </c>
      <c r="BG504" t="s">
        <v>74</v>
      </c>
      <c r="BH504" t="s">
        <v>74</v>
      </c>
      <c r="BI504">
        <v>8</v>
      </c>
      <c r="BJ504" t="s">
        <v>734</v>
      </c>
      <c r="BK504" t="s">
        <v>2189</v>
      </c>
      <c r="BL504" t="s">
        <v>734</v>
      </c>
      <c r="BM504" t="s">
        <v>6083</v>
      </c>
      <c r="BN504" t="s">
        <v>74</v>
      </c>
      <c r="BO504" t="s">
        <v>74</v>
      </c>
      <c r="BP504" t="s">
        <v>74</v>
      </c>
      <c r="BQ504" t="s">
        <v>74</v>
      </c>
      <c r="BR504" t="s">
        <v>101</v>
      </c>
      <c r="BS504" t="s">
        <v>6181</v>
      </c>
      <c r="BT504" t="str">
        <f>HYPERLINK("https%3A%2F%2Fwww.webofscience.com%2Fwos%2Fwoscc%2Ffull-record%2FWOS:000081883000016","View Full Record in Web of Science")</f>
        <v>View Full Record in Web of Science</v>
      </c>
    </row>
    <row r="505" spans="1:72" x14ac:dyDescent="0.15">
      <c r="A505" t="s">
        <v>2175</v>
      </c>
      <c r="B505" t="s">
        <v>6182</v>
      </c>
      <c r="C505" t="s">
        <v>74</v>
      </c>
      <c r="D505" t="s">
        <v>6066</v>
      </c>
      <c r="E505" t="s">
        <v>74</v>
      </c>
      <c r="F505" t="s">
        <v>6182</v>
      </c>
      <c r="G505" t="s">
        <v>74</v>
      </c>
      <c r="H505" t="s">
        <v>74</v>
      </c>
      <c r="I505" t="s">
        <v>6183</v>
      </c>
      <c r="J505" t="s">
        <v>6111</v>
      </c>
      <c r="K505" t="s">
        <v>6069</v>
      </c>
      <c r="L505" t="s">
        <v>74</v>
      </c>
      <c r="M505" t="s">
        <v>5443</v>
      </c>
      <c r="N505" t="s">
        <v>2180</v>
      </c>
      <c r="O505" t="s">
        <v>6070</v>
      </c>
      <c r="P505" t="s">
        <v>6071</v>
      </c>
      <c r="Q505" t="s">
        <v>6072</v>
      </c>
      <c r="R505" t="s">
        <v>74</v>
      </c>
      <c r="S505" t="s">
        <v>74</v>
      </c>
      <c r="T505" t="s">
        <v>6184</v>
      </c>
      <c r="U505" t="s">
        <v>6185</v>
      </c>
      <c r="V505" t="s">
        <v>6186</v>
      </c>
      <c r="W505" t="s">
        <v>6187</v>
      </c>
      <c r="X505" t="s">
        <v>6188</v>
      </c>
      <c r="Y505" t="s">
        <v>6189</v>
      </c>
      <c r="Z505" t="s">
        <v>74</v>
      </c>
      <c r="AA505" t="s">
        <v>74</v>
      </c>
      <c r="AB505" t="s">
        <v>74</v>
      </c>
      <c r="AC505" t="s">
        <v>74</v>
      </c>
      <c r="AD505" t="s">
        <v>74</v>
      </c>
      <c r="AE505" t="s">
        <v>74</v>
      </c>
      <c r="AF505" t="s">
        <v>74</v>
      </c>
      <c r="AG505">
        <v>44</v>
      </c>
      <c r="AH505">
        <v>12</v>
      </c>
      <c r="AI505">
        <v>12</v>
      </c>
      <c r="AJ505">
        <v>0</v>
      </c>
      <c r="AK505">
        <v>2</v>
      </c>
      <c r="AL505" t="s">
        <v>6078</v>
      </c>
      <c r="AM505" t="s">
        <v>6079</v>
      </c>
      <c r="AN505" t="s">
        <v>6080</v>
      </c>
      <c r="AO505" t="s">
        <v>6081</v>
      </c>
      <c r="AP505" t="s">
        <v>74</v>
      </c>
      <c r="AQ505" t="s">
        <v>74</v>
      </c>
      <c r="AR505" t="s">
        <v>6082</v>
      </c>
      <c r="AS505" t="s">
        <v>6117</v>
      </c>
      <c r="AT505" t="s">
        <v>74</v>
      </c>
      <c r="AU505">
        <v>1998</v>
      </c>
      <c r="AV505" t="s">
        <v>74</v>
      </c>
      <c r="AW505">
        <v>5</v>
      </c>
      <c r="AX505" t="s">
        <v>74</v>
      </c>
      <c r="AY505" t="s">
        <v>74</v>
      </c>
      <c r="AZ505" t="s">
        <v>74</v>
      </c>
      <c r="BA505" t="s">
        <v>74</v>
      </c>
      <c r="BB505">
        <v>163</v>
      </c>
      <c r="BC505">
        <v>175</v>
      </c>
      <c r="BD505" t="s">
        <v>74</v>
      </c>
      <c r="BE505" t="s">
        <v>74</v>
      </c>
      <c r="BF505" t="s">
        <v>74</v>
      </c>
      <c r="BG505" t="s">
        <v>74</v>
      </c>
      <c r="BH505" t="s">
        <v>74</v>
      </c>
      <c r="BI505">
        <v>13</v>
      </c>
      <c r="BJ505" t="s">
        <v>734</v>
      </c>
      <c r="BK505" t="s">
        <v>2189</v>
      </c>
      <c r="BL505" t="s">
        <v>734</v>
      </c>
      <c r="BM505" t="s">
        <v>6083</v>
      </c>
      <c r="BN505" t="s">
        <v>74</v>
      </c>
      <c r="BO505" t="s">
        <v>74</v>
      </c>
      <c r="BP505" t="s">
        <v>74</v>
      </c>
      <c r="BQ505" t="s">
        <v>74</v>
      </c>
      <c r="BR505" t="s">
        <v>101</v>
      </c>
      <c r="BS505" t="s">
        <v>6190</v>
      </c>
      <c r="BT505" t="str">
        <f>HYPERLINK("https%3A%2F%2Fwww.webofscience.com%2Fwos%2Fwoscc%2Ffull-record%2FWOS:000081883000017","View Full Record in Web of Science")</f>
        <v>View Full Record in Web of Science</v>
      </c>
    </row>
    <row r="506" spans="1:72" x14ac:dyDescent="0.15">
      <c r="A506" t="s">
        <v>2175</v>
      </c>
      <c r="B506" t="s">
        <v>6191</v>
      </c>
      <c r="C506" t="s">
        <v>74</v>
      </c>
      <c r="D506" t="s">
        <v>6066</v>
      </c>
      <c r="E506" t="s">
        <v>74</v>
      </c>
      <c r="F506" t="s">
        <v>6191</v>
      </c>
      <c r="G506" t="s">
        <v>74</v>
      </c>
      <c r="H506" t="s">
        <v>74</v>
      </c>
      <c r="I506" t="s">
        <v>6192</v>
      </c>
      <c r="J506" t="s">
        <v>6111</v>
      </c>
      <c r="K506" t="s">
        <v>6069</v>
      </c>
      <c r="L506" t="s">
        <v>74</v>
      </c>
      <c r="M506" t="s">
        <v>77</v>
      </c>
      <c r="N506" t="s">
        <v>2180</v>
      </c>
      <c r="O506" t="s">
        <v>6070</v>
      </c>
      <c r="P506" t="s">
        <v>6071</v>
      </c>
      <c r="Q506" t="s">
        <v>6072</v>
      </c>
      <c r="R506" t="s">
        <v>74</v>
      </c>
      <c r="S506" t="s">
        <v>74</v>
      </c>
      <c r="T506" t="s">
        <v>6193</v>
      </c>
      <c r="U506" t="s">
        <v>6194</v>
      </c>
      <c r="V506" t="s">
        <v>6195</v>
      </c>
      <c r="W506" t="s">
        <v>333</v>
      </c>
      <c r="X506" t="s">
        <v>334</v>
      </c>
      <c r="Y506" t="s">
        <v>335</v>
      </c>
      <c r="Z506" t="s">
        <v>74</v>
      </c>
      <c r="AA506" t="s">
        <v>74</v>
      </c>
      <c r="AB506" t="s">
        <v>74</v>
      </c>
      <c r="AC506" t="s">
        <v>74</v>
      </c>
      <c r="AD506" t="s">
        <v>74</v>
      </c>
      <c r="AE506" t="s">
        <v>74</v>
      </c>
      <c r="AF506" t="s">
        <v>74</v>
      </c>
      <c r="AG506">
        <v>32</v>
      </c>
      <c r="AH506">
        <v>5</v>
      </c>
      <c r="AI506">
        <v>6</v>
      </c>
      <c r="AJ506">
        <v>0</v>
      </c>
      <c r="AK506">
        <v>2</v>
      </c>
      <c r="AL506" t="s">
        <v>6078</v>
      </c>
      <c r="AM506" t="s">
        <v>6079</v>
      </c>
      <c r="AN506" t="s">
        <v>6080</v>
      </c>
      <c r="AO506" t="s">
        <v>6081</v>
      </c>
      <c r="AP506" t="s">
        <v>74</v>
      </c>
      <c r="AQ506" t="s">
        <v>74</v>
      </c>
      <c r="AR506" t="s">
        <v>6082</v>
      </c>
      <c r="AS506" t="s">
        <v>6117</v>
      </c>
      <c r="AT506" t="s">
        <v>74</v>
      </c>
      <c r="AU506">
        <v>1998</v>
      </c>
      <c r="AV506" t="s">
        <v>74</v>
      </c>
      <c r="AW506">
        <v>5</v>
      </c>
      <c r="AX506" t="s">
        <v>74</v>
      </c>
      <c r="AY506" t="s">
        <v>74</v>
      </c>
      <c r="AZ506" t="s">
        <v>74</v>
      </c>
      <c r="BA506" t="s">
        <v>74</v>
      </c>
      <c r="BB506">
        <v>177</v>
      </c>
      <c r="BC506">
        <v>183</v>
      </c>
      <c r="BD506" t="s">
        <v>74</v>
      </c>
      <c r="BE506" t="s">
        <v>74</v>
      </c>
      <c r="BF506" t="s">
        <v>74</v>
      </c>
      <c r="BG506" t="s">
        <v>74</v>
      </c>
      <c r="BH506" t="s">
        <v>74</v>
      </c>
      <c r="BI506">
        <v>7</v>
      </c>
      <c r="BJ506" t="s">
        <v>734</v>
      </c>
      <c r="BK506" t="s">
        <v>2189</v>
      </c>
      <c r="BL506" t="s">
        <v>734</v>
      </c>
      <c r="BM506" t="s">
        <v>6083</v>
      </c>
      <c r="BN506" t="s">
        <v>74</v>
      </c>
      <c r="BO506" t="s">
        <v>74</v>
      </c>
      <c r="BP506" t="s">
        <v>74</v>
      </c>
      <c r="BQ506" t="s">
        <v>74</v>
      </c>
      <c r="BR506" t="s">
        <v>101</v>
      </c>
      <c r="BS506" t="s">
        <v>6196</v>
      </c>
      <c r="BT506" t="str">
        <f>HYPERLINK("https%3A%2F%2Fwww.webofscience.com%2Fwos%2Fwoscc%2Ffull-record%2FWOS:000081883000018","View Full Record in Web of Science")</f>
        <v>View Full Record in Web of Science</v>
      </c>
    </row>
    <row r="507" spans="1:72" x14ac:dyDescent="0.15">
      <c r="A507" t="s">
        <v>2175</v>
      </c>
      <c r="B507" t="s">
        <v>6197</v>
      </c>
      <c r="C507" t="s">
        <v>74</v>
      </c>
      <c r="D507" t="s">
        <v>6066</v>
      </c>
      <c r="E507" t="s">
        <v>74</v>
      </c>
      <c r="F507" t="s">
        <v>6197</v>
      </c>
      <c r="G507" t="s">
        <v>74</v>
      </c>
      <c r="H507" t="s">
        <v>74</v>
      </c>
      <c r="I507" t="s">
        <v>6198</v>
      </c>
      <c r="J507" t="s">
        <v>6111</v>
      </c>
      <c r="K507" t="s">
        <v>6069</v>
      </c>
      <c r="L507" t="s">
        <v>74</v>
      </c>
      <c r="M507" t="s">
        <v>77</v>
      </c>
      <c r="N507" t="s">
        <v>2180</v>
      </c>
      <c r="O507" t="s">
        <v>6070</v>
      </c>
      <c r="P507" t="s">
        <v>6071</v>
      </c>
      <c r="Q507" t="s">
        <v>6072</v>
      </c>
      <c r="R507" t="s">
        <v>74</v>
      </c>
      <c r="S507" t="s">
        <v>74</v>
      </c>
      <c r="T507" t="s">
        <v>6199</v>
      </c>
      <c r="U507" t="s">
        <v>6200</v>
      </c>
      <c r="V507" t="s">
        <v>6201</v>
      </c>
      <c r="W507" t="s">
        <v>333</v>
      </c>
      <c r="X507" t="s">
        <v>334</v>
      </c>
      <c r="Y507" t="s">
        <v>6202</v>
      </c>
      <c r="Z507" t="s">
        <v>6203</v>
      </c>
      <c r="AA507" t="s">
        <v>74</v>
      </c>
      <c r="AB507" t="s">
        <v>74</v>
      </c>
      <c r="AC507" t="s">
        <v>74</v>
      </c>
      <c r="AD507" t="s">
        <v>74</v>
      </c>
      <c r="AE507" t="s">
        <v>74</v>
      </c>
      <c r="AF507" t="s">
        <v>74</v>
      </c>
      <c r="AG507">
        <v>75</v>
      </c>
      <c r="AH507">
        <v>16</v>
      </c>
      <c r="AI507">
        <v>17</v>
      </c>
      <c r="AJ507">
        <v>0</v>
      </c>
      <c r="AK507">
        <v>3</v>
      </c>
      <c r="AL507" t="s">
        <v>6078</v>
      </c>
      <c r="AM507" t="s">
        <v>6079</v>
      </c>
      <c r="AN507" t="s">
        <v>6080</v>
      </c>
      <c r="AO507" t="s">
        <v>6081</v>
      </c>
      <c r="AP507" t="s">
        <v>74</v>
      </c>
      <c r="AQ507" t="s">
        <v>74</v>
      </c>
      <c r="AR507" t="s">
        <v>6082</v>
      </c>
      <c r="AS507" t="s">
        <v>6117</v>
      </c>
      <c r="AT507" t="s">
        <v>74</v>
      </c>
      <c r="AU507">
        <v>1998</v>
      </c>
      <c r="AV507" t="s">
        <v>74</v>
      </c>
      <c r="AW507">
        <v>5</v>
      </c>
      <c r="AX507" t="s">
        <v>74</v>
      </c>
      <c r="AY507" t="s">
        <v>74</v>
      </c>
      <c r="AZ507" t="s">
        <v>74</v>
      </c>
      <c r="BA507" t="s">
        <v>74</v>
      </c>
      <c r="BB507">
        <v>185</v>
      </c>
      <c r="BC507">
        <v>198</v>
      </c>
      <c r="BD507" t="s">
        <v>74</v>
      </c>
      <c r="BE507" t="s">
        <v>74</v>
      </c>
      <c r="BF507" t="s">
        <v>74</v>
      </c>
      <c r="BG507" t="s">
        <v>74</v>
      </c>
      <c r="BH507" t="s">
        <v>74</v>
      </c>
      <c r="BI507">
        <v>14</v>
      </c>
      <c r="BJ507" t="s">
        <v>734</v>
      </c>
      <c r="BK507" t="s">
        <v>2189</v>
      </c>
      <c r="BL507" t="s">
        <v>734</v>
      </c>
      <c r="BM507" t="s">
        <v>6083</v>
      </c>
      <c r="BN507" t="s">
        <v>74</v>
      </c>
      <c r="BO507" t="s">
        <v>74</v>
      </c>
      <c r="BP507" t="s">
        <v>74</v>
      </c>
      <c r="BQ507" t="s">
        <v>74</v>
      </c>
      <c r="BR507" t="s">
        <v>101</v>
      </c>
      <c r="BS507" t="s">
        <v>6204</v>
      </c>
      <c r="BT507" t="str">
        <f>HYPERLINK("https%3A%2F%2Fwww.webofscience.com%2Fwos%2Fwoscc%2Ffull-record%2FWOS:000081883000019","View Full Record in Web of Science")</f>
        <v>View Full Record in Web of Science</v>
      </c>
    </row>
    <row r="508" spans="1:72" x14ac:dyDescent="0.15">
      <c r="A508" t="s">
        <v>2175</v>
      </c>
      <c r="B508" t="s">
        <v>6205</v>
      </c>
      <c r="C508" t="s">
        <v>74</v>
      </c>
      <c r="D508" t="s">
        <v>6066</v>
      </c>
      <c r="E508" t="s">
        <v>74</v>
      </c>
      <c r="F508" t="s">
        <v>6205</v>
      </c>
      <c r="G508" t="s">
        <v>74</v>
      </c>
      <c r="H508" t="s">
        <v>74</v>
      </c>
      <c r="I508" t="s">
        <v>6206</v>
      </c>
      <c r="J508" t="s">
        <v>6111</v>
      </c>
      <c r="K508" t="s">
        <v>6069</v>
      </c>
      <c r="L508" t="s">
        <v>74</v>
      </c>
      <c r="M508" t="s">
        <v>77</v>
      </c>
      <c r="N508" t="s">
        <v>2180</v>
      </c>
      <c r="O508" t="s">
        <v>6070</v>
      </c>
      <c r="P508" t="s">
        <v>6071</v>
      </c>
      <c r="Q508" t="s">
        <v>6072</v>
      </c>
      <c r="R508" t="s">
        <v>74</v>
      </c>
      <c r="S508" t="s">
        <v>74</v>
      </c>
      <c r="T508" t="s">
        <v>6207</v>
      </c>
      <c r="U508" t="s">
        <v>6208</v>
      </c>
      <c r="V508" t="s">
        <v>6209</v>
      </c>
      <c r="W508" t="s">
        <v>333</v>
      </c>
      <c r="X508" t="s">
        <v>334</v>
      </c>
      <c r="Y508" t="s">
        <v>335</v>
      </c>
      <c r="Z508" t="s">
        <v>74</v>
      </c>
      <c r="AA508" t="s">
        <v>74</v>
      </c>
      <c r="AB508" t="s">
        <v>74</v>
      </c>
      <c r="AC508" t="s">
        <v>74</v>
      </c>
      <c r="AD508" t="s">
        <v>74</v>
      </c>
      <c r="AE508" t="s">
        <v>74</v>
      </c>
      <c r="AF508" t="s">
        <v>74</v>
      </c>
      <c r="AG508">
        <v>79</v>
      </c>
      <c r="AH508">
        <v>19</v>
      </c>
      <c r="AI508">
        <v>22</v>
      </c>
      <c r="AJ508">
        <v>0</v>
      </c>
      <c r="AK508">
        <v>11</v>
      </c>
      <c r="AL508" t="s">
        <v>6078</v>
      </c>
      <c r="AM508" t="s">
        <v>6079</v>
      </c>
      <c r="AN508" t="s">
        <v>6080</v>
      </c>
      <c r="AO508" t="s">
        <v>6081</v>
      </c>
      <c r="AP508" t="s">
        <v>74</v>
      </c>
      <c r="AQ508" t="s">
        <v>74</v>
      </c>
      <c r="AR508" t="s">
        <v>6082</v>
      </c>
      <c r="AS508" t="s">
        <v>6117</v>
      </c>
      <c r="AT508" t="s">
        <v>74</v>
      </c>
      <c r="AU508">
        <v>1998</v>
      </c>
      <c r="AV508" t="s">
        <v>74</v>
      </c>
      <c r="AW508">
        <v>5</v>
      </c>
      <c r="AX508" t="s">
        <v>74</v>
      </c>
      <c r="AY508" t="s">
        <v>74</v>
      </c>
      <c r="AZ508" t="s">
        <v>74</v>
      </c>
      <c r="BA508" t="s">
        <v>74</v>
      </c>
      <c r="BB508">
        <v>199</v>
      </c>
      <c r="BC508">
        <v>209</v>
      </c>
      <c r="BD508" t="s">
        <v>74</v>
      </c>
      <c r="BE508" t="s">
        <v>74</v>
      </c>
      <c r="BF508" t="s">
        <v>74</v>
      </c>
      <c r="BG508" t="s">
        <v>74</v>
      </c>
      <c r="BH508" t="s">
        <v>74</v>
      </c>
      <c r="BI508">
        <v>11</v>
      </c>
      <c r="BJ508" t="s">
        <v>734</v>
      </c>
      <c r="BK508" t="s">
        <v>2189</v>
      </c>
      <c r="BL508" t="s">
        <v>734</v>
      </c>
      <c r="BM508" t="s">
        <v>6083</v>
      </c>
      <c r="BN508" t="s">
        <v>74</v>
      </c>
      <c r="BO508" t="s">
        <v>74</v>
      </c>
      <c r="BP508" t="s">
        <v>74</v>
      </c>
      <c r="BQ508" t="s">
        <v>74</v>
      </c>
      <c r="BR508" t="s">
        <v>101</v>
      </c>
      <c r="BS508" t="s">
        <v>6210</v>
      </c>
      <c r="BT508" t="str">
        <f>HYPERLINK("https%3A%2F%2Fwww.webofscience.com%2Fwos%2Fwoscc%2Ffull-record%2FWOS:000081883000020","View Full Record in Web of Science")</f>
        <v>View Full Record in Web of Science</v>
      </c>
    </row>
    <row r="509" spans="1:72" x14ac:dyDescent="0.15">
      <c r="A509" t="s">
        <v>2175</v>
      </c>
      <c r="B509" t="s">
        <v>6211</v>
      </c>
      <c r="C509" t="s">
        <v>74</v>
      </c>
      <c r="D509" t="s">
        <v>6066</v>
      </c>
      <c r="E509" t="s">
        <v>74</v>
      </c>
      <c r="F509" t="s">
        <v>6211</v>
      </c>
      <c r="G509" t="s">
        <v>74</v>
      </c>
      <c r="H509" t="s">
        <v>74</v>
      </c>
      <c r="I509" t="s">
        <v>6212</v>
      </c>
      <c r="J509" t="s">
        <v>6111</v>
      </c>
      <c r="K509" t="s">
        <v>6069</v>
      </c>
      <c r="L509" t="s">
        <v>74</v>
      </c>
      <c r="M509" t="s">
        <v>77</v>
      </c>
      <c r="N509" t="s">
        <v>2180</v>
      </c>
      <c r="O509" t="s">
        <v>6070</v>
      </c>
      <c r="P509" t="s">
        <v>6071</v>
      </c>
      <c r="Q509" t="s">
        <v>6072</v>
      </c>
      <c r="R509" t="s">
        <v>74</v>
      </c>
      <c r="S509" t="s">
        <v>74</v>
      </c>
      <c r="T509" t="s">
        <v>6213</v>
      </c>
      <c r="U509" t="s">
        <v>6214</v>
      </c>
      <c r="V509" t="s">
        <v>6215</v>
      </c>
      <c r="W509" t="s">
        <v>333</v>
      </c>
      <c r="X509" t="s">
        <v>334</v>
      </c>
      <c r="Y509" t="s">
        <v>6216</v>
      </c>
      <c r="Z509" t="s">
        <v>74</v>
      </c>
      <c r="AA509" t="s">
        <v>74</v>
      </c>
      <c r="AB509" t="s">
        <v>74</v>
      </c>
      <c r="AC509" t="s">
        <v>74</v>
      </c>
      <c r="AD509" t="s">
        <v>74</v>
      </c>
      <c r="AE509" t="s">
        <v>74</v>
      </c>
      <c r="AF509" t="s">
        <v>74</v>
      </c>
      <c r="AG509">
        <v>57</v>
      </c>
      <c r="AH509">
        <v>12</v>
      </c>
      <c r="AI509">
        <v>14</v>
      </c>
      <c r="AJ509">
        <v>0</v>
      </c>
      <c r="AK509">
        <v>1</v>
      </c>
      <c r="AL509" t="s">
        <v>6078</v>
      </c>
      <c r="AM509" t="s">
        <v>6079</v>
      </c>
      <c r="AN509" t="s">
        <v>6080</v>
      </c>
      <c r="AO509" t="s">
        <v>6081</v>
      </c>
      <c r="AP509" t="s">
        <v>74</v>
      </c>
      <c r="AQ509" t="s">
        <v>74</v>
      </c>
      <c r="AR509" t="s">
        <v>6082</v>
      </c>
      <c r="AS509" t="s">
        <v>6117</v>
      </c>
      <c r="AT509" t="s">
        <v>74</v>
      </c>
      <c r="AU509">
        <v>1998</v>
      </c>
      <c r="AV509" t="s">
        <v>74</v>
      </c>
      <c r="AW509">
        <v>5</v>
      </c>
      <c r="AX509" t="s">
        <v>74</v>
      </c>
      <c r="AY509" t="s">
        <v>74</v>
      </c>
      <c r="AZ509" t="s">
        <v>74</v>
      </c>
      <c r="BA509" t="s">
        <v>74</v>
      </c>
      <c r="BB509">
        <v>211</v>
      </c>
      <c r="BC509">
        <v>221</v>
      </c>
      <c r="BD509" t="s">
        <v>74</v>
      </c>
      <c r="BE509" t="s">
        <v>74</v>
      </c>
      <c r="BF509" t="s">
        <v>74</v>
      </c>
      <c r="BG509" t="s">
        <v>74</v>
      </c>
      <c r="BH509" t="s">
        <v>74</v>
      </c>
      <c r="BI509">
        <v>11</v>
      </c>
      <c r="BJ509" t="s">
        <v>734</v>
      </c>
      <c r="BK509" t="s">
        <v>2189</v>
      </c>
      <c r="BL509" t="s">
        <v>734</v>
      </c>
      <c r="BM509" t="s">
        <v>6083</v>
      </c>
      <c r="BN509" t="s">
        <v>74</v>
      </c>
      <c r="BO509" t="s">
        <v>74</v>
      </c>
      <c r="BP509" t="s">
        <v>74</v>
      </c>
      <c r="BQ509" t="s">
        <v>74</v>
      </c>
      <c r="BR509" t="s">
        <v>101</v>
      </c>
      <c r="BS509" t="s">
        <v>6217</v>
      </c>
      <c r="BT509" t="str">
        <f>HYPERLINK("https%3A%2F%2Fwww.webofscience.com%2Fwos%2Fwoscc%2Ffull-record%2FWOS:000081883000021","View Full Record in Web of Science")</f>
        <v>View Full Record in Web of Science</v>
      </c>
    </row>
    <row r="510" spans="1:72" x14ac:dyDescent="0.15">
      <c r="A510" t="s">
        <v>72</v>
      </c>
      <c r="B510" t="s">
        <v>6218</v>
      </c>
      <c r="C510" t="s">
        <v>74</v>
      </c>
      <c r="D510" t="s">
        <v>74</v>
      </c>
      <c r="E510" t="s">
        <v>74</v>
      </c>
      <c r="F510" t="s">
        <v>6218</v>
      </c>
      <c r="G510" t="s">
        <v>74</v>
      </c>
      <c r="H510" t="s">
        <v>74</v>
      </c>
      <c r="I510" t="s">
        <v>6219</v>
      </c>
      <c r="J510" t="s">
        <v>6220</v>
      </c>
      <c r="K510" t="s">
        <v>74</v>
      </c>
      <c r="L510" t="s">
        <v>74</v>
      </c>
      <c r="M510" t="s">
        <v>77</v>
      </c>
      <c r="N510" t="s">
        <v>78</v>
      </c>
      <c r="O510" t="s">
        <v>74</v>
      </c>
      <c r="P510" t="s">
        <v>74</v>
      </c>
      <c r="Q510" t="s">
        <v>74</v>
      </c>
      <c r="R510" t="s">
        <v>74</v>
      </c>
      <c r="S510" t="s">
        <v>74</v>
      </c>
      <c r="T510" t="s">
        <v>6221</v>
      </c>
      <c r="U510" t="s">
        <v>6222</v>
      </c>
      <c r="V510" t="s">
        <v>6223</v>
      </c>
      <c r="W510" t="s">
        <v>6224</v>
      </c>
      <c r="X510" t="s">
        <v>6225</v>
      </c>
      <c r="Y510" t="s">
        <v>6226</v>
      </c>
      <c r="Z510" t="s">
        <v>74</v>
      </c>
      <c r="AA510" t="s">
        <v>6227</v>
      </c>
      <c r="AB510" t="s">
        <v>74</v>
      </c>
      <c r="AC510" t="s">
        <v>74</v>
      </c>
      <c r="AD510" t="s">
        <v>74</v>
      </c>
      <c r="AE510" t="s">
        <v>74</v>
      </c>
      <c r="AF510" t="s">
        <v>74</v>
      </c>
      <c r="AG510">
        <v>18</v>
      </c>
      <c r="AH510">
        <v>17</v>
      </c>
      <c r="AI510">
        <v>17</v>
      </c>
      <c r="AJ510">
        <v>0</v>
      </c>
      <c r="AK510">
        <v>8</v>
      </c>
      <c r="AL510" t="s">
        <v>4307</v>
      </c>
      <c r="AM510" t="s">
        <v>4308</v>
      </c>
      <c r="AN510" t="s">
        <v>4309</v>
      </c>
      <c r="AO510" t="s">
        <v>6228</v>
      </c>
      <c r="AP510" t="s">
        <v>74</v>
      </c>
      <c r="AQ510" t="s">
        <v>74</v>
      </c>
      <c r="AR510" t="s">
        <v>6229</v>
      </c>
      <c r="AS510" t="s">
        <v>6230</v>
      </c>
      <c r="AT510" t="s">
        <v>6231</v>
      </c>
      <c r="AU510">
        <v>1998</v>
      </c>
      <c r="AV510">
        <v>9</v>
      </c>
      <c r="AW510">
        <v>1</v>
      </c>
      <c r="AX510" t="s">
        <v>74</v>
      </c>
      <c r="AY510" t="s">
        <v>74</v>
      </c>
      <c r="AZ510" t="s">
        <v>74</v>
      </c>
      <c r="BA510" t="s">
        <v>74</v>
      </c>
      <c r="BB510">
        <v>35</v>
      </c>
      <c r="BC510">
        <v>46</v>
      </c>
      <c r="BD510" t="s">
        <v>74</v>
      </c>
      <c r="BE510" t="s">
        <v>6232</v>
      </c>
      <c r="BF510" t="str">
        <f>HYPERLINK("http://dx.doi.org/10.1002/(SICI)1099-1530(199801/03)9:1&lt;35::AID-PPP276&gt;3.0.CO;2-L","http://dx.doi.org/10.1002/(SICI)1099-1530(199801/03)9:1&lt;35::AID-PPP276&gt;3.0.CO;2-L")</f>
        <v>http://dx.doi.org/10.1002/(SICI)1099-1530(199801/03)9:1&lt;35::AID-PPP276&gt;3.0.CO;2-L</v>
      </c>
      <c r="BG510" t="s">
        <v>74</v>
      </c>
      <c r="BH510" t="s">
        <v>74</v>
      </c>
      <c r="BI510">
        <v>12</v>
      </c>
      <c r="BJ510" t="s">
        <v>4405</v>
      </c>
      <c r="BK510" t="s">
        <v>98</v>
      </c>
      <c r="BL510" t="s">
        <v>4240</v>
      </c>
      <c r="BM510" t="s">
        <v>6233</v>
      </c>
      <c r="BN510" t="s">
        <v>74</v>
      </c>
      <c r="BO510" t="s">
        <v>74</v>
      </c>
      <c r="BP510" t="s">
        <v>74</v>
      </c>
      <c r="BQ510" t="s">
        <v>74</v>
      </c>
      <c r="BR510" t="s">
        <v>101</v>
      </c>
      <c r="BS510" t="s">
        <v>6234</v>
      </c>
      <c r="BT510" t="str">
        <f>HYPERLINK("https%3A%2F%2Fwww.webofscience.com%2Fwos%2Fwoscc%2Ffull-record%2FWOS:000073990000003","View Full Record in Web of Science")</f>
        <v>View Full Record in Web of Science</v>
      </c>
    </row>
    <row r="511" spans="1:72" x14ac:dyDescent="0.15">
      <c r="A511" t="s">
        <v>2175</v>
      </c>
      <c r="B511" t="s">
        <v>6235</v>
      </c>
      <c r="C511" t="s">
        <v>74</v>
      </c>
      <c r="D511" t="s">
        <v>6236</v>
      </c>
      <c r="E511" t="s">
        <v>74</v>
      </c>
      <c r="F511" t="s">
        <v>6235</v>
      </c>
      <c r="G511" t="s">
        <v>74</v>
      </c>
      <c r="H511" t="s">
        <v>74</v>
      </c>
      <c r="I511" t="s">
        <v>6237</v>
      </c>
      <c r="J511" t="s">
        <v>6238</v>
      </c>
      <c r="K511" t="s">
        <v>74</v>
      </c>
      <c r="L511" t="s">
        <v>74</v>
      </c>
      <c r="M511" t="s">
        <v>77</v>
      </c>
      <c r="N511" t="s">
        <v>2180</v>
      </c>
      <c r="O511" t="s">
        <v>6239</v>
      </c>
      <c r="P511" t="s">
        <v>6240</v>
      </c>
      <c r="Q511" t="s">
        <v>6241</v>
      </c>
      <c r="R511" t="s">
        <v>74</v>
      </c>
      <c r="S511" t="s">
        <v>74</v>
      </c>
      <c r="T511" t="s">
        <v>6242</v>
      </c>
      <c r="U511" t="s">
        <v>74</v>
      </c>
      <c r="V511" t="s">
        <v>74</v>
      </c>
      <c r="W511" t="s">
        <v>6243</v>
      </c>
      <c r="X511" t="s">
        <v>6244</v>
      </c>
      <c r="Y511" t="s">
        <v>6245</v>
      </c>
      <c r="Z511" t="s">
        <v>74</v>
      </c>
      <c r="AA511" t="s">
        <v>74</v>
      </c>
      <c r="AB511" t="s">
        <v>74</v>
      </c>
      <c r="AC511" t="s">
        <v>74</v>
      </c>
      <c r="AD511" t="s">
        <v>74</v>
      </c>
      <c r="AE511" t="s">
        <v>74</v>
      </c>
      <c r="AF511" t="s">
        <v>74</v>
      </c>
      <c r="AG511">
        <v>9</v>
      </c>
      <c r="AH511">
        <v>0</v>
      </c>
      <c r="AI511">
        <v>0</v>
      </c>
      <c r="AJ511">
        <v>0</v>
      </c>
      <c r="AK511">
        <v>1</v>
      </c>
      <c r="AL511" t="s">
        <v>914</v>
      </c>
      <c r="AM511" t="s">
        <v>855</v>
      </c>
      <c r="AN511" t="s">
        <v>2630</v>
      </c>
      <c r="AO511" t="s">
        <v>74</v>
      </c>
      <c r="AP511" t="s">
        <v>74</v>
      </c>
      <c r="AQ511" t="s">
        <v>6246</v>
      </c>
      <c r="AR511" t="s">
        <v>74</v>
      </c>
      <c r="AS511" t="s">
        <v>74</v>
      </c>
      <c r="AT511" t="s">
        <v>74</v>
      </c>
      <c r="AU511">
        <v>1998</v>
      </c>
      <c r="AV511" t="s">
        <v>74</v>
      </c>
      <c r="AW511" t="s">
        <v>74</v>
      </c>
      <c r="AX511" t="s">
        <v>74</v>
      </c>
      <c r="AY511" t="s">
        <v>74</v>
      </c>
      <c r="AZ511" t="s">
        <v>74</v>
      </c>
      <c r="BA511" t="s">
        <v>74</v>
      </c>
      <c r="BB511">
        <v>1613</v>
      </c>
      <c r="BC511">
        <v>1616</v>
      </c>
      <c r="BD511" t="s">
        <v>74</v>
      </c>
      <c r="BE511" t="s">
        <v>74</v>
      </c>
      <c r="BF511" t="s">
        <v>74</v>
      </c>
      <c r="BG511" t="s">
        <v>74</v>
      </c>
      <c r="BH511" t="s">
        <v>74</v>
      </c>
      <c r="BI511">
        <v>4</v>
      </c>
      <c r="BJ511" t="s">
        <v>6247</v>
      </c>
      <c r="BK511" t="s">
        <v>2189</v>
      </c>
      <c r="BL511" t="s">
        <v>6247</v>
      </c>
      <c r="BM511" t="s">
        <v>6248</v>
      </c>
      <c r="BN511" t="s">
        <v>74</v>
      </c>
      <c r="BO511" t="s">
        <v>74</v>
      </c>
      <c r="BP511" t="s">
        <v>74</v>
      </c>
      <c r="BQ511" t="s">
        <v>74</v>
      </c>
      <c r="BR511" t="s">
        <v>101</v>
      </c>
      <c r="BS511" t="s">
        <v>6249</v>
      </c>
      <c r="BT511" t="str">
        <f>HYPERLINK("https%3A%2F%2Fwww.webofscience.com%2Fwos%2Fwoscc%2Ffull-record%2FWOS:000085848500380","View Full Record in Web of Science")</f>
        <v>View Full Record in Web of Science</v>
      </c>
    </row>
    <row r="512" spans="1:72" x14ac:dyDescent="0.15">
      <c r="A512" t="s">
        <v>72</v>
      </c>
      <c r="B512" t="s">
        <v>6250</v>
      </c>
      <c r="C512" t="s">
        <v>74</v>
      </c>
      <c r="D512" t="s">
        <v>74</v>
      </c>
      <c r="E512" t="s">
        <v>74</v>
      </c>
      <c r="F512" t="s">
        <v>6250</v>
      </c>
      <c r="G512" t="s">
        <v>74</v>
      </c>
      <c r="H512" t="s">
        <v>74</v>
      </c>
      <c r="I512" t="s">
        <v>6251</v>
      </c>
      <c r="J512" t="s">
        <v>6252</v>
      </c>
      <c r="K512" t="s">
        <v>74</v>
      </c>
      <c r="L512" t="s">
        <v>74</v>
      </c>
      <c r="M512" t="s">
        <v>77</v>
      </c>
      <c r="N512" t="s">
        <v>78</v>
      </c>
      <c r="O512" t="s">
        <v>74</v>
      </c>
      <c r="P512" t="s">
        <v>74</v>
      </c>
      <c r="Q512" t="s">
        <v>74</v>
      </c>
      <c r="R512" t="s">
        <v>74</v>
      </c>
      <c r="S512" t="s">
        <v>74</v>
      </c>
      <c r="T512" t="s">
        <v>6253</v>
      </c>
      <c r="U512" t="s">
        <v>6254</v>
      </c>
      <c r="V512" t="s">
        <v>6255</v>
      </c>
      <c r="W512" t="s">
        <v>6256</v>
      </c>
      <c r="X512" t="s">
        <v>6257</v>
      </c>
      <c r="Y512" t="s">
        <v>6258</v>
      </c>
      <c r="Z512" t="s">
        <v>74</v>
      </c>
      <c r="AA512" t="s">
        <v>74</v>
      </c>
      <c r="AB512" t="s">
        <v>74</v>
      </c>
      <c r="AC512" t="s">
        <v>74</v>
      </c>
      <c r="AD512" t="s">
        <v>74</v>
      </c>
      <c r="AE512" t="s">
        <v>74</v>
      </c>
      <c r="AF512" t="s">
        <v>74</v>
      </c>
      <c r="AG512">
        <v>18</v>
      </c>
      <c r="AH512">
        <v>14</v>
      </c>
      <c r="AI512">
        <v>15</v>
      </c>
      <c r="AJ512">
        <v>1</v>
      </c>
      <c r="AK512">
        <v>2</v>
      </c>
      <c r="AL512" t="s">
        <v>6259</v>
      </c>
      <c r="AM512" t="s">
        <v>6260</v>
      </c>
      <c r="AN512" t="s">
        <v>6261</v>
      </c>
      <c r="AO512" t="s">
        <v>6262</v>
      </c>
      <c r="AP512" t="s">
        <v>74</v>
      </c>
      <c r="AQ512" t="s">
        <v>74</v>
      </c>
      <c r="AR512" t="s">
        <v>6252</v>
      </c>
      <c r="AS512" t="s">
        <v>6263</v>
      </c>
      <c r="AT512" t="s">
        <v>74</v>
      </c>
      <c r="AU512">
        <v>1998</v>
      </c>
      <c r="AV512">
        <v>35</v>
      </c>
      <c r="AW512">
        <v>3</v>
      </c>
      <c r="AX512" t="s">
        <v>74</v>
      </c>
      <c r="AY512" t="s">
        <v>74</v>
      </c>
      <c r="AZ512" t="s">
        <v>74</v>
      </c>
      <c r="BA512" t="s">
        <v>74</v>
      </c>
      <c r="BB512">
        <v>473</v>
      </c>
      <c r="BC512">
        <v>476</v>
      </c>
      <c r="BD512" t="s">
        <v>74</v>
      </c>
      <c r="BE512" t="s">
        <v>6264</v>
      </c>
      <c r="BF512" t="str">
        <f>HYPERLINK("http://dx.doi.org/10.1023/A:1006932922895","http://dx.doi.org/10.1023/A:1006932922895")</f>
        <v>http://dx.doi.org/10.1023/A:1006932922895</v>
      </c>
      <c r="BG512" t="s">
        <v>74</v>
      </c>
      <c r="BH512" t="s">
        <v>74</v>
      </c>
      <c r="BI512">
        <v>4</v>
      </c>
      <c r="BJ512" t="s">
        <v>2721</v>
      </c>
      <c r="BK512" t="s">
        <v>98</v>
      </c>
      <c r="BL512" t="s">
        <v>2721</v>
      </c>
      <c r="BM512" t="s">
        <v>6265</v>
      </c>
      <c r="BN512" t="s">
        <v>74</v>
      </c>
      <c r="BO512" t="s">
        <v>100</v>
      </c>
      <c r="BP512" t="s">
        <v>74</v>
      </c>
      <c r="BQ512" t="s">
        <v>74</v>
      </c>
      <c r="BR512" t="s">
        <v>101</v>
      </c>
      <c r="BS512" t="s">
        <v>6266</v>
      </c>
      <c r="BT512" t="str">
        <f>HYPERLINK("https%3A%2F%2Fwww.webofscience.com%2Fwos%2Fwoscc%2Ffull-record%2FWOS:000074792300018","View Full Record in Web of Science")</f>
        <v>View Full Record in Web of Science</v>
      </c>
    </row>
    <row r="513" spans="1:72" x14ac:dyDescent="0.15">
      <c r="A513" t="s">
        <v>1540</v>
      </c>
      <c r="B513" t="s">
        <v>6267</v>
      </c>
      <c r="C513" t="s">
        <v>74</v>
      </c>
      <c r="D513" t="s">
        <v>6268</v>
      </c>
      <c r="E513" t="s">
        <v>74</v>
      </c>
      <c r="F513" t="s">
        <v>6267</v>
      </c>
      <c r="G513" t="s">
        <v>74</v>
      </c>
      <c r="H513" t="s">
        <v>74</v>
      </c>
      <c r="I513" t="s">
        <v>6269</v>
      </c>
      <c r="J513" t="s">
        <v>6270</v>
      </c>
      <c r="K513" t="s">
        <v>6271</v>
      </c>
      <c r="L513" t="s">
        <v>74</v>
      </c>
      <c r="M513" t="s">
        <v>77</v>
      </c>
      <c r="N513" t="s">
        <v>494</v>
      </c>
      <c r="O513" t="s">
        <v>74</v>
      </c>
      <c r="P513" t="s">
        <v>74</v>
      </c>
      <c r="Q513" t="s">
        <v>74</v>
      </c>
      <c r="R513" t="s">
        <v>74</v>
      </c>
      <c r="S513" t="s">
        <v>74</v>
      </c>
      <c r="T513" t="s">
        <v>74</v>
      </c>
      <c r="U513" t="s">
        <v>6272</v>
      </c>
      <c r="V513" t="s">
        <v>74</v>
      </c>
      <c r="W513" t="s">
        <v>6273</v>
      </c>
      <c r="X513" t="s">
        <v>6274</v>
      </c>
      <c r="Y513" t="s">
        <v>6275</v>
      </c>
      <c r="Z513" t="s">
        <v>74</v>
      </c>
      <c r="AA513" t="s">
        <v>74</v>
      </c>
      <c r="AB513" t="s">
        <v>74</v>
      </c>
      <c r="AC513" t="s">
        <v>74</v>
      </c>
      <c r="AD513" t="s">
        <v>74</v>
      </c>
      <c r="AE513" t="s">
        <v>74</v>
      </c>
      <c r="AF513" t="s">
        <v>74</v>
      </c>
      <c r="AG513">
        <v>129</v>
      </c>
      <c r="AH513">
        <v>0</v>
      </c>
      <c r="AI513">
        <v>0</v>
      </c>
      <c r="AJ513">
        <v>0</v>
      </c>
      <c r="AK513">
        <v>6</v>
      </c>
      <c r="AL513" t="s">
        <v>6276</v>
      </c>
      <c r="AM513" t="s">
        <v>6277</v>
      </c>
      <c r="AN513" t="s">
        <v>6278</v>
      </c>
      <c r="AO513" t="s">
        <v>6279</v>
      </c>
      <c r="AP513" t="s">
        <v>74</v>
      </c>
      <c r="AQ513" t="s">
        <v>6280</v>
      </c>
      <c r="AR513" t="s">
        <v>6281</v>
      </c>
      <c r="AS513" t="s">
        <v>6282</v>
      </c>
      <c r="AT513" t="s">
        <v>74</v>
      </c>
      <c r="AU513">
        <v>1998</v>
      </c>
      <c r="AV513">
        <v>36</v>
      </c>
      <c r="AW513" t="s">
        <v>74</v>
      </c>
      <c r="AX513" t="s">
        <v>74</v>
      </c>
      <c r="AY513" t="s">
        <v>74</v>
      </c>
      <c r="AZ513" t="s">
        <v>74</v>
      </c>
      <c r="BA513" t="s">
        <v>74</v>
      </c>
      <c r="BB513" t="s">
        <v>5082</v>
      </c>
      <c r="BC513" t="s">
        <v>6283</v>
      </c>
      <c r="BD513" t="s">
        <v>74</v>
      </c>
      <c r="BE513" t="s">
        <v>74</v>
      </c>
      <c r="BF513" t="s">
        <v>74</v>
      </c>
      <c r="BG513" t="s">
        <v>74</v>
      </c>
      <c r="BH513" t="s">
        <v>74</v>
      </c>
      <c r="BI513">
        <v>28</v>
      </c>
      <c r="BJ513" t="s">
        <v>6284</v>
      </c>
      <c r="BK513" t="s">
        <v>98</v>
      </c>
      <c r="BL513" t="s">
        <v>6284</v>
      </c>
      <c r="BM513" t="s">
        <v>6285</v>
      </c>
      <c r="BN513" t="s">
        <v>74</v>
      </c>
      <c r="BO513" t="s">
        <v>74</v>
      </c>
      <c r="BP513" t="s">
        <v>74</v>
      </c>
      <c r="BQ513" t="s">
        <v>74</v>
      </c>
      <c r="BR513" t="s">
        <v>101</v>
      </c>
      <c r="BS513" t="s">
        <v>6286</v>
      </c>
      <c r="BT513" t="str">
        <f>HYPERLINK("https%3A%2F%2Fwww.webofscience.com%2Fwos%2Fwoscc%2Ffull-record%2FWOS:000077625800001","View Full Record in Web of Science")</f>
        <v>View Full Record in Web of Science</v>
      </c>
    </row>
    <row r="514" spans="1:72" x14ac:dyDescent="0.15">
      <c r="A514" t="s">
        <v>72</v>
      </c>
      <c r="B514" t="s">
        <v>6287</v>
      </c>
      <c r="C514" t="s">
        <v>74</v>
      </c>
      <c r="D514" t="s">
        <v>74</v>
      </c>
      <c r="E514" t="s">
        <v>74</v>
      </c>
      <c r="F514" t="s">
        <v>6287</v>
      </c>
      <c r="G514" t="s">
        <v>74</v>
      </c>
      <c r="H514" t="s">
        <v>74</v>
      </c>
      <c r="I514" t="s">
        <v>6288</v>
      </c>
      <c r="J514" t="s">
        <v>888</v>
      </c>
      <c r="K514" t="s">
        <v>74</v>
      </c>
      <c r="L514" t="s">
        <v>74</v>
      </c>
      <c r="M514" t="s">
        <v>77</v>
      </c>
      <c r="N514" t="s">
        <v>78</v>
      </c>
      <c r="O514" t="s">
        <v>74</v>
      </c>
      <c r="P514" t="s">
        <v>74</v>
      </c>
      <c r="Q514" t="s">
        <v>74</v>
      </c>
      <c r="R514" t="s">
        <v>74</v>
      </c>
      <c r="S514" t="s">
        <v>74</v>
      </c>
      <c r="T514" t="s">
        <v>74</v>
      </c>
      <c r="U514" t="s">
        <v>6289</v>
      </c>
      <c r="V514" t="s">
        <v>6290</v>
      </c>
      <c r="W514" t="s">
        <v>6291</v>
      </c>
      <c r="X514" t="s">
        <v>6292</v>
      </c>
      <c r="Y514" t="s">
        <v>6293</v>
      </c>
      <c r="Z514" t="s">
        <v>74</v>
      </c>
      <c r="AA514" t="s">
        <v>74</v>
      </c>
      <c r="AB514" t="s">
        <v>74</v>
      </c>
      <c r="AC514" t="s">
        <v>74</v>
      </c>
      <c r="AD514" t="s">
        <v>74</v>
      </c>
      <c r="AE514" t="s">
        <v>74</v>
      </c>
      <c r="AF514" t="s">
        <v>74</v>
      </c>
      <c r="AG514">
        <v>33</v>
      </c>
      <c r="AH514">
        <v>25</v>
      </c>
      <c r="AI514">
        <v>26</v>
      </c>
      <c r="AJ514">
        <v>0</v>
      </c>
      <c r="AK514">
        <v>10</v>
      </c>
      <c r="AL514" t="s">
        <v>897</v>
      </c>
      <c r="AM514" t="s">
        <v>244</v>
      </c>
      <c r="AN514" t="s">
        <v>898</v>
      </c>
      <c r="AO514" t="s">
        <v>899</v>
      </c>
      <c r="AP514" t="s">
        <v>74</v>
      </c>
      <c r="AQ514" t="s">
        <v>74</v>
      </c>
      <c r="AR514" t="s">
        <v>900</v>
      </c>
      <c r="AS514" t="s">
        <v>901</v>
      </c>
      <c r="AT514" t="s">
        <v>2502</v>
      </c>
      <c r="AU514">
        <v>1998</v>
      </c>
      <c r="AV514">
        <v>19</v>
      </c>
      <c r="AW514">
        <v>1</v>
      </c>
      <c r="AX514" t="s">
        <v>74</v>
      </c>
      <c r="AY514" t="s">
        <v>74</v>
      </c>
      <c r="AZ514" t="s">
        <v>74</v>
      </c>
      <c r="BA514" t="s">
        <v>74</v>
      </c>
      <c r="BB514">
        <v>9</v>
      </c>
      <c r="BC514">
        <v>16</v>
      </c>
      <c r="BD514" t="s">
        <v>74</v>
      </c>
      <c r="BE514" t="s">
        <v>74</v>
      </c>
      <c r="BF514" t="s">
        <v>74</v>
      </c>
      <c r="BG514" t="s">
        <v>74</v>
      </c>
      <c r="BH514" t="s">
        <v>74</v>
      </c>
      <c r="BI514">
        <v>8</v>
      </c>
      <c r="BJ514" t="s">
        <v>903</v>
      </c>
      <c r="BK514" t="s">
        <v>98</v>
      </c>
      <c r="BL514" t="s">
        <v>904</v>
      </c>
      <c r="BM514" t="s">
        <v>6294</v>
      </c>
      <c r="BN514" t="s">
        <v>74</v>
      </c>
      <c r="BO514" t="s">
        <v>74</v>
      </c>
      <c r="BP514" t="s">
        <v>74</v>
      </c>
      <c r="BQ514" t="s">
        <v>74</v>
      </c>
      <c r="BR514" t="s">
        <v>101</v>
      </c>
      <c r="BS514" t="s">
        <v>6295</v>
      </c>
      <c r="BT514" t="str">
        <f>HYPERLINK("https%3A%2F%2Fwww.webofscience.com%2Fwos%2Fwoscc%2Ffull-record%2FWOS:000071096700002","View Full Record in Web of Science")</f>
        <v>View Full Record in Web of Science</v>
      </c>
    </row>
    <row r="515" spans="1:72" x14ac:dyDescent="0.15">
      <c r="A515" t="s">
        <v>72</v>
      </c>
      <c r="B515" t="s">
        <v>6296</v>
      </c>
      <c r="C515" t="s">
        <v>74</v>
      </c>
      <c r="D515" t="s">
        <v>74</v>
      </c>
      <c r="E515" t="s">
        <v>74</v>
      </c>
      <c r="F515" t="s">
        <v>6296</v>
      </c>
      <c r="G515" t="s">
        <v>74</v>
      </c>
      <c r="H515" t="s">
        <v>74</v>
      </c>
      <c r="I515" t="s">
        <v>6297</v>
      </c>
      <c r="J515" t="s">
        <v>888</v>
      </c>
      <c r="K515" t="s">
        <v>74</v>
      </c>
      <c r="L515" t="s">
        <v>74</v>
      </c>
      <c r="M515" t="s">
        <v>77</v>
      </c>
      <c r="N515" t="s">
        <v>78</v>
      </c>
      <c r="O515" t="s">
        <v>74</v>
      </c>
      <c r="P515" t="s">
        <v>74</v>
      </c>
      <c r="Q515" t="s">
        <v>74</v>
      </c>
      <c r="R515" t="s">
        <v>74</v>
      </c>
      <c r="S515" t="s">
        <v>74</v>
      </c>
      <c r="T515" t="s">
        <v>74</v>
      </c>
      <c r="U515" t="s">
        <v>6298</v>
      </c>
      <c r="V515" t="s">
        <v>6299</v>
      </c>
      <c r="W515" t="s">
        <v>6300</v>
      </c>
      <c r="X515" t="s">
        <v>6301</v>
      </c>
      <c r="Y515" t="s">
        <v>6302</v>
      </c>
      <c r="Z515" t="s">
        <v>6303</v>
      </c>
      <c r="AA515" t="s">
        <v>74</v>
      </c>
      <c r="AB515" t="s">
        <v>74</v>
      </c>
      <c r="AC515" t="s">
        <v>74</v>
      </c>
      <c r="AD515" t="s">
        <v>74</v>
      </c>
      <c r="AE515" t="s">
        <v>74</v>
      </c>
      <c r="AF515" t="s">
        <v>74</v>
      </c>
      <c r="AG515">
        <v>30</v>
      </c>
      <c r="AH515">
        <v>15</v>
      </c>
      <c r="AI515">
        <v>15</v>
      </c>
      <c r="AJ515">
        <v>0</v>
      </c>
      <c r="AK515">
        <v>3</v>
      </c>
      <c r="AL515" t="s">
        <v>914</v>
      </c>
      <c r="AM515" t="s">
        <v>244</v>
      </c>
      <c r="AN515" t="s">
        <v>1400</v>
      </c>
      <c r="AO515" t="s">
        <v>899</v>
      </c>
      <c r="AP515" t="s">
        <v>916</v>
      </c>
      <c r="AQ515" t="s">
        <v>74</v>
      </c>
      <c r="AR515" t="s">
        <v>900</v>
      </c>
      <c r="AS515" t="s">
        <v>901</v>
      </c>
      <c r="AT515" t="s">
        <v>2502</v>
      </c>
      <c r="AU515">
        <v>1998</v>
      </c>
      <c r="AV515">
        <v>19</v>
      </c>
      <c r="AW515">
        <v>1</v>
      </c>
      <c r="AX515" t="s">
        <v>74</v>
      </c>
      <c r="AY515" t="s">
        <v>74</v>
      </c>
      <c r="AZ515" t="s">
        <v>74</v>
      </c>
      <c r="BA515" t="s">
        <v>74</v>
      </c>
      <c r="BB515">
        <v>17</v>
      </c>
      <c r="BC515">
        <v>23</v>
      </c>
      <c r="BD515" t="s">
        <v>74</v>
      </c>
      <c r="BE515" t="s">
        <v>74</v>
      </c>
      <c r="BF515" t="s">
        <v>74</v>
      </c>
      <c r="BG515" t="s">
        <v>74</v>
      </c>
      <c r="BH515" t="s">
        <v>74</v>
      </c>
      <c r="BI515">
        <v>7</v>
      </c>
      <c r="BJ515" t="s">
        <v>903</v>
      </c>
      <c r="BK515" t="s">
        <v>98</v>
      </c>
      <c r="BL515" t="s">
        <v>904</v>
      </c>
      <c r="BM515" t="s">
        <v>6294</v>
      </c>
      <c r="BN515" t="s">
        <v>74</v>
      </c>
      <c r="BO515" t="s">
        <v>74</v>
      </c>
      <c r="BP515" t="s">
        <v>74</v>
      </c>
      <c r="BQ515" t="s">
        <v>74</v>
      </c>
      <c r="BR515" t="s">
        <v>101</v>
      </c>
      <c r="BS515" t="s">
        <v>6304</v>
      </c>
      <c r="BT515" t="str">
        <f>HYPERLINK("https%3A%2F%2Fwww.webofscience.com%2Fwos%2Fwoscc%2Ffull-record%2FWOS:000071096700003","View Full Record in Web of Science")</f>
        <v>View Full Record in Web of Science</v>
      </c>
    </row>
    <row r="516" spans="1:72" x14ac:dyDescent="0.15">
      <c r="A516" t="s">
        <v>72</v>
      </c>
      <c r="B516" t="s">
        <v>6305</v>
      </c>
      <c r="C516" t="s">
        <v>74</v>
      </c>
      <c r="D516" t="s">
        <v>74</v>
      </c>
      <c r="E516" t="s">
        <v>74</v>
      </c>
      <c r="F516" t="s">
        <v>6305</v>
      </c>
      <c r="G516" t="s">
        <v>74</v>
      </c>
      <c r="H516" t="s">
        <v>74</v>
      </c>
      <c r="I516" t="s">
        <v>6306</v>
      </c>
      <c r="J516" t="s">
        <v>888</v>
      </c>
      <c r="K516" t="s">
        <v>74</v>
      </c>
      <c r="L516" t="s">
        <v>74</v>
      </c>
      <c r="M516" t="s">
        <v>77</v>
      </c>
      <c r="N516" t="s">
        <v>78</v>
      </c>
      <c r="O516" t="s">
        <v>74</v>
      </c>
      <c r="P516" t="s">
        <v>74</v>
      </c>
      <c r="Q516" t="s">
        <v>74</v>
      </c>
      <c r="R516" t="s">
        <v>74</v>
      </c>
      <c r="S516" t="s">
        <v>74</v>
      </c>
      <c r="T516" t="s">
        <v>74</v>
      </c>
      <c r="U516" t="s">
        <v>6307</v>
      </c>
      <c r="V516" t="s">
        <v>6308</v>
      </c>
      <c r="W516" t="s">
        <v>6309</v>
      </c>
      <c r="X516" t="s">
        <v>6310</v>
      </c>
      <c r="Y516" t="s">
        <v>6311</v>
      </c>
      <c r="Z516" t="s">
        <v>74</v>
      </c>
      <c r="AA516" t="s">
        <v>6312</v>
      </c>
      <c r="AB516" t="s">
        <v>6313</v>
      </c>
      <c r="AC516" t="s">
        <v>74</v>
      </c>
      <c r="AD516" t="s">
        <v>74</v>
      </c>
      <c r="AE516" t="s">
        <v>74</v>
      </c>
      <c r="AF516" t="s">
        <v>74</v>
      </c>
      <c r="AG516">
        <v>26</v>
      </c>
      <c r="AH516">
        <v>11</v>
      </c>
      <c r="AI516">
        <v>15</v>
      </c>
      <c r="AJ516">
        <v>0</v>
      </c>
      <c r="AK516">
        <v>1</v>
      </c>
      <c r="AL516" t="s">
        <v>897</v>
      </c>
      <c r="AM516" t="s">
        <v>244</v>
      </c>
      <c r="AN516" t="s">
        <v>898</v>
      </c>
      <c r="AO516" t="s">
        <v>899</v>
      </c>
      <c r="AP516" t="s">
        <v>74</v>
      </c>
      <c r="AQ516" t="s">
        <v>74</v>
      </c>
      <c r="AR516" t="s">
        <v>900</v>
      </c>
      <c r="AS516" t="s">
        <v>901</v>
      </c>
      <c r="AT516" t="s">
        <v>2502</v>
      </c>
      <c r="AU516">
        <v>1998</v>
      </c>
      <c r="AV516">
        <v>19</v>
      </c>
      <c r="AW516">
        <v>1</v>
      </c>
      <c r="AX516" t="s">
        <v>74</v>
      </c>
      <c r="AY516" t="s">
        <v>74</v>
      </c>
      <c r="AZ516" t="s">
        <v>74</v>
      </c>
      <c r="BA516" t="s">
        <v>74</v>
      </c>
      <c r="BB516">
        <v>32</v>
      </c>
      <c r="BC516">
        <v>36</v>
      </c>
      <c r="BD516" t="s">
        <v>74</v>
      </c>
      <c r="BE516" t="s">
        <v>74</v>
      </c>
      <c r="BF516" t="s">
        <v>74</v>
      </c>
      <c r="BG516" t="s">
        <v>74</v>
      </c>
      <c r="BH516" t="s">
        <v>74</v>
      </c>
      <c r="BI516">
        <v>5</v>
      </c>
      <c r="BJ516" t="s">
        <v>903</v>
      </c>
      <c r="BK516" t="s">
        <v>98</v>
      </c>
      <c r="BL516" t="s">
        <v>904</v>
      </c>
      <c r="BM516" t="s">
        <v>6294</v>
      </c>
      <c r="BN516" t="s">
        <v>74</v>
      </c>
      <c r="BO516" t="s">
        <v>74</v>
      </c>
      <c r="BP516" t="s">
        <v>74</v>
      </c>
      <c r="BQ516" t="s">
        <v>74</v>
      </c>
      <c r="BR516" t="s">
        <v>101</v>
      </c>
      <c r="BS516" t="s">
        <v>6314</v>
      </c>
      <c r="BT516" t="str">
        <f>HYPERLINK("https%3A%2F%2Fwww.webofscience.com%2Fwos%2Fwoscc%2Ffull-record%2FWOS:000071096700005","View Full Record in Web of Science")</f>
        <v>View Full Record in Web of Science</v>
      </c>
    </row>
    <row r="517" spans="1:72" x14ac:dyDescent="0.15">
      <c r="A517" t="s">
        <v>72</v>
      </c>
      <c r="B517" t="s">
        <v>6315</v>
      </c>
      <c r="C517" t="s">
        <v>74</v>
      </c>
      <c r="D517" t="s">
        <v>74</v>
      </c>
      <c r="E517" t="s">
        <v>74</v>
      </c>
      <c r="F517" t="s">
        <v>6315</v>
      </c>
      <c r="G517" t="s">
        <v>74</v>
      </c>
      <c r="H517" t="s">
        <v>74</v>
      </c>
      <c r="I517" t="s">
        <v>6316</v>
      </c>
      <c r="J517" t="s">
        <v>888</v>
      </c>
      <c r="K517" t="s">
        <v>74</v>
      </c>
      <c r="L517" t="s">
        <v>74</v>
      </c>
      <c r="M517" t="s">
        <v>77</v>
      </c>
      <c r="N517" t="s">
        <v>78</v>
      </c>
      <c r="O517" t="s">
        <v>74</v>
      </c>
      <c r="P517" t="s">
        <v>74</v>
      </c>
      <c r="Q517" t="s">
        <v>74</v>
      </c>
      <c r="R517" t="s">
        <v>74</v>
      </c>
      <c r="S517" t="s">
        <v>74</v>
      </c>
      <c r="T517" t="s">
        <v>74</v>
      </c>
      <c r="U517" t="s">
        <v>6317</v>
      </c>
      <c r="V517" t="s">
        <v>6318</v>
      </c>
      <c r="W517" t="s">
        <v>6319</v>
      </c>
      <c r="X517" t="s">
        <v>6320</v>
      </c>
      <c r="Y517" t="s">
        <v>6321</v>
      </c>
      <c r="Z517" t="s">
        <v>74</v>
      </c>
      <c r="AA517" t="s">
        <v>74</v>
      </c>
      <c r="AB517" t="s">
        <v>6322</v>
      </c>
      <c r="AC517" t="s">
        <v>74</v>
      </c>
      <c r="AD517" t="s">
        <v>74</v>
      </c>
      <c r="AE517" t="s">
        <v>74</v>
      </c>
      <c r="AF517" t="s">
        <v>74</v>
      </c>
      <c r="AG517">
        <v>68</v>
      </c>
      <c r="AH517">
        <v>53</v>
      </c>
      <c r="AI517">
        <v>57</v>
      </c>
      <c r="AJ517">
        <v>1</v>
      </c>
      <c r="AK517">
        <v>6</v>
      </c>
      <c r="AL517" t="s">
        <v>897</v>
      </c>
      <c r="AM517" t="s">
        <v>244</v>
      </c>
      <c r="AN517" t="s">
        <v>898</v>
      </c>
      <c r="AO517" t="s">
        <v>899</v>
      </c>
      <c r="AP517" t="s">
        <v>74</v>
      </c>
      <c r="AQ517" t="s">
        <v>74</v>
      </c>
      <c r="AR517" t="s">
        <v>900</v>
      </c>
      <c r="AS517" t="s">
        <v>901</v>
      </c>
      <c r="AT517" t="s">
        <v>2502</v>
      </c>
      <c r="AU517">
        <v>1998</v>
      </c>
      <c r="AV517">
        <v>19</v>
      </c>
      <c r="AW517">
        <v>1</v>
      </c>
      <c r="AX517" t="s">
        <v>74</v>
      </c>
      <c r="AY517" t="s">
        <v>74</v>
      </c>
      <c r="AZ517" t="s">
        <v>74</v>
      </c>
      <c r="BA517" t="s">
        <v>74</v>
      </c>
      <c r="BB517">
        <v>37</v>
      </c>
      <c r="BC517">
        <v>51</v>
      </c>
      <c r="BD517" t="s">
        <v>74</v>
      </c>
      <c r="BE517" t="s">
        <v>74</v>
      </c>
      <c r="BF517" t="s">
        <v>74</v>
      </c>
      <c r="BG517" t="s">
        <v>74</v>
      </c>
      <c r="BH517" t="s">
        <v>74</v>
      </c>
      <c r="BI517">
        <v>15</v>
      </c>
      <c r="BJ517" t="s">
        <v>903</v>
      </c>
      <c r="BK517" t="s">
        <v>98</v>
      </c>
      <c r="BL517" t="s">
        <v>904</v>
      </c>
      <c r="BM517" t="s">
        <v>6294</v>
      </c>
      <c r="BN517" t="s">
        <v>74</v>
      </c>
      <c r="BO517" t="s">
        <v>74</v>
      </c>
      <c r="BP517" t="s">
        <v>74</v>
      </c>
      <c r="BQ517" t="s">
        <v>74</v>
      </c>
      <c r="BR517" t="s">
        <v>101</v>
      </c>
      <c r="BS517" t="s">
        <v>6323</v>
      </c>
      <c r="BT517" t="str">
        <f>HYPERLINK("https%3A%2F%2Fwww.webofscience.com%2Fwos%2Fwoscc%2Ffull-record%2FWOS:000071096700006","View Full Record in Web of Science")</f>
        <v>View Full Record in Web of Science</v>
      </c>
    </row>
    <row r="518" spans="1:72" x14ac:dyDescent="0.15">
      <c r="A518" t="s">
        <v>2175</v>
      </c>
      <c r="B518" t="s">
        <v>6324</v>
      </c>
      <c r="C518" t="s">
        <v>74</v>
      </c>
      <c r="D518" t="s">
        <v>6325</v>
      </c>
      <c r="E518" t="s">
        <v>74</v>
      </c>
      <c r="F518" t="s">
        <v>6324</v>
      </c>
      <c r="G518" t="s">
        <v>74</v>
      </c>
      <c r="H518" t="s">
        <v>74</v>
      </c>
      <c r="I518" t="s">
        <v>6326</v>
      </c>
      <c r="J518" t="s">
        <v>6327</v>
      </c>
      <c r="K518" t="s">
        <v>6328</v>
      </c>
      <c r="L518" t="s">
        <v>74</v>
      </c>
      <c r="M518" t="s">
        <v>77</v>
      </c>
      <c r="N518" t="s">
        <v>2180</v>
      </c>
      <c r="O518" t="s">
        <v>6329</v>
      </c>
      <c r="P518" t="s">
        <v>6330</v>
      </c>
      <c r="Q518" t="s">
        <v>6331</v>
      </c>
      <c r="R518" t="s">
        <v>74</v>
      </c>
      <c r="S518" t="s">
        <v>74</v>
      </c>
      <c r="T518" t="s">
        <v>74</v>
      </c>
      <c r="U518" t="s">
        <v>74</v>
      </c>
      <c r="V518" t="s">
        <v>74</v>
      </c>
      <c r="W518" t="s">
        <v>758</v>
      </c>
      <c r="X518" t="s">
        <v>322</v>
      </c>
      <c r="Y518" t="s">
        <v>6332</v>
      </c>
      <c r="Z518" t="s">
        <v>74</v>
      </c>
      <c r="AA518" t="s">
        <v>5080</v>
      </c>
      <c r="AB518" t="s">
        <v>6333</v>
      </c>
      <c r="AC518" t="s">
        <v>74</v>
      </c>
      <c r="AD518" t="s">
        <v>74</v>
      </c>
      <c r="AE518" t="s">
        <v>74</v>
      </c>
      <c r="AF518" t="s">
        <v>74</v>
      </c>
      <c r="AG518">
        <v>0</v>
      </c>
      <c r="AH518">
        <v>5</v>
      </c>
      <c r="AI518">
        <v>5</v>
      </c>
      <c r="AJ518">
        <v>0</v>
      </c>
      <c r="AK518">
        <v>1</v>
      </c>
      <c r="AL518" t="s">
        <v>914</v>
      </c>
      <c r="AM518" t="s">
        <v>855</v>
      </c>
      <c r="AN518" t="s">
        <v>2630</v>
      </c>
      <c r="AO518" t="s">
        <v>6334</v>
      </c>
      <c r="AP518" t="s">
        <v>74</v>
      </c>
      <c r="AQ518" t="s">
        <v>6335</v>
      </c>
      <c r="AR518" t="s">
        <v>6336</v>
      </c>
      <c r="AS518" t="s">
        <v>74</v>
      </c>
      <c r="AT518" t="s">
        <v>74</v>
      </c>
      <c r="AU518">
        <v>1998</v>
      </c>
      <c r="AV518">
        <v>509</v>
      </c>
      <c r="AW518" t="s">
        <v>74</v>
      </c>
      <c r="AX518" t="s">
        <v>74</v>
      </c>
      <c r="AY518" t="s">
        <v>74</v>
      </c>
      <c r="AZ518" t="s">
        <v>74</v>
      </c>
      <c r="BA518" t="s">
        <v>74</v>
      </c>
      <c r="BB518">
        <v>15</v>
      </c>
      <c r="BC518">
        <v>26</v>
      </c>
      <c r="BD518" t="s">
        <v>74</v>
      </c>
      <c r="BE518" t="s">
        <v>74</v>
      </c>
      <c r="BF518" t="s">
        <v>74</v>
      </c>
      <c r="BG518" t="s">
        <v>74</v>
      </c>
      <c r="BH518" t="s">
        <v>74</v>
      </c>
      <c r="BI518">
        <v>12</v>
      </c>
      <c r="BJ518" t="s">
        <v>6337</v>
      </c>
      <c r="BK518" t="s">
        <v>2189</v>
      </c>
      <c r="BL518" t="s">
        <v>6338</v>
      </c>
      <c r="BM518" t="s">
        <v>6339</v>
      </c>
      <c r="BN518" t="s">
        <v>74</v>
      </c>
      <c r="BO518" t="s">
        <v>74</v>
      </c>
      <c r="BP518" t="s">
        <v>74</v>
      </c>
      <c r="BQ518" t="s">
        <v>74</v>
      </c>
      <c r="BR518" t="s">
        <v>101</v>
      </c>
      <c r="BS518" t="s">
        <v>6340</v>
      </c>
      <c r="BT518" t="str">
        <f>HYPERLINK("https%3A%2F%2Fwww.webofscience.com%2Fwos%2Fwoscc%2Ffull-record%2FWOS:000073073600002","View Full Record in Web of Science")</f>
        <v>View Full Record in Web of Science</v>
      </c>
    </row>
    <row r="519" spans="1:72" x14ac:dyDescent="0.15">
      <c r="A519" t="s">
        <v>2175</v>
      </c>
      <c r="B519" t="s">
        <v>6341</v>
      </c>
      <c r="C519" t="s">
        <v>74</v>
      </c>
      <c r="D519" t="s">
        <v>6325</v>
      </c>
      <c r="E519" t="s">
        <v>74</v>
      </c>
      <c r="F519" t="s">
        <v>6341</v>
      </c>
      <c r="G519" t="s">
        <v>74</v>
      </c>
      <c r="H519" t="s">
        <v>74</v>
      </c>
      <c r="I519" t="s">
        <v>6342</v>
      </c>
      <c r="J519" t="s">
        <v>6327</v>
      </c>
      <c r="K519" t="s">
        <v>6328</v>
      </c>
      <c r="L519" t="s">
        <v>74</v>
      </c>
      <c r="M519" t="s">
        <v>77</v>
      </c>
      <c r="N519" t="s">
        <v>2180</v>
      </c>
      <c r="O519" t="s">
        <v>6329</v>
      </c>
      <c r="P519" t="s">
        <v>6330</v>
      </c>
      <c r="Q519" t="s">
        <v>6331</v>
      </c>
      <c r="R519" t="s">
        <v>74</v>
      </c>
      <c r="S519" t="s">
        <v>74</v>
      </c>
      <c r="T519" t="s">
        <v>74</v>
      </c>
      <c r="U519" t="s">
        <v>74</v>
      </c>
      <c r="V519" t="s">
        <v>6343</v>
      </c>
      <c r="W519" t="s">
        <v>758</v>
      </c>
      <c r="X519" t="s">
        <v>322</v>
      </c>
      <c r="Y519" t="s">
        <v>6344</v>
      </c>
      <c r="Z519" t="s">
        <v>74</v>
      </c>
      <c r="AA519" t="s">
        <v>74</v>
      </c>
      <c r="AB519" t="s">
        <v>74</v>
      </c>
      <c r="AC519" t="s">
        <v>74</v>
      </c>
      <c r="AD519" t="s">
        <v>74</v>
      </c>
      <c r="AE519" t="s">
        <v>74</v>
      </c>
      <c r="AF519" t="s">
        <v>74</v>
      </c>
      <c r="AG519">
        <v>0</v>
      </c>
      <c r="AH519">
        <v>5</v>
      </c>
      <c r="AI519">
        <v>5</v>
      </c>
      <c r="AJ519">
        <v>0</v>
      </c>
      <c r="AK519">
        <v>0</v>
      </c>
      <c r="AL519" t="s">
        <v>914</v>
      </c>
      <c r="AM519" t="s">
        <v>855</v>
      </c>
      <c r="AN519" t="s">
        <v>2630</v>
      </c>
      <c r="AO519" t="s">
        <v>6334</v>
      </c>
      <c r="AP519" t="s">
        <v>74</v>
      </c>
      <c r="AQ519" t="s">
        <v>6335</v>
      </c>
      <c r="AR519" t="s">
        <v>6336</v>
      </c>
      <c r="AS519" t="s">
        <v>74</v>
      </c>
      <c r="AT519" t="s">
        <v>74</v>
      </c>
      <c r="AU519">
        <v>1998</v>
      </c>
      <c r="AV519">
        <v>509</v>
      </c>
      <c r="AW519" t="s">
        <v>74</v>
      </c>
      <c r="AX519" t="s">
        <v>74</v>
      </c>
      <c r="AY519" t="s">
        <v>74</v>
      </c>
      <c r="AZ519" t="s">
        <v>74</v>
      </c>
      <c r="BA519" t="s">
        <v>74</v>
      </c>
      <c r="BB519">
        <v>115</v>
      </c>
      <c r="BC519">
        <v>125</v>
      </c>
      <c r="BD519" t="s">
        <v>74</v>
      </c>
      <c r="BE519" t="s">
        <v>74</v>
      </c>
      <c r="BF519" t="s">
        <v>74</v>
      </c>
      <c r="BG519" t="s">
        <v>74</v>
      </c>
      <c r="BH519" t="s">
        <v>74</v>
      </c>
      <c r="BI519">
        <v>11</v>
      </c>
      <c r="BJ519" t="s">
        <v>6337</v>
      </c>
      <c r="BK519" t="s">
        <v>2189</v>
      </c>
      <c r="BL519" t="s">
        <v>6338</v>
      </c>
      <c r="BM519" t="s">
        <v>6339</v>
      </c>
      <c r="BN519" t="s">
        <v>74</v>
      </c>
      <c r="BO519" t="s">
        <v>74</v>
      </c>
      <c r="BP519" t="s">
        <v>74</v>
      </c>
      <c r="BQ519" t="s">
        <v>74</v>
      </c>
      <c r="BR519" t="s">
        <v>101</v>
      </c>
      <c r="BS519" t="s">
        <v>6345</v>
      </c>
      <c r="BT519" t="str">
        <f>HYPERLINK("https%3A%2F%2Fwww.webofscience.com%2Fwos%2Fwoscc%2Ffull-record%2FWOS:000073073600010","View Full Record in Web of Science")</f>
        <v>View Full Record in Web of Science</v>
      </c>
    </row>
    <row r="520" spans="1:72" x14ac:dyDescent="0.15">
      <c r="A520" t="s">
        <v>2175</v>
      </c>
      <c r="B520" t="s">
        <v>6341</v>
      </c>
      <c r="C520" t="s">
        <v>74</v>
      </c>
      <c r="D520" t="s">
        <v>6325</v>
      </c>
      <c r="E520" t="s">
        <v>74</v>
      </c>
      <c r="F520" t="s">
        <v>6341</v>
      </c>
      <c r="G520" t="s">
        <v>74</v>
      </c>
      <c r="H520" t="s">
        <v>74</v>
      </c>
      <c r="I520" t="s">
        <v>6346</v>
      </c>
      <c r="J520" t="s">
        <v>6327</v>
      </c>
      <c r="K520" t="s">
        <v>6328</v>
      </c>
      <c r="L520" t="s">
        <v>74</v>
      </c>
      <c r="M520" t="s">
        <v>77</v>
      </c>
      <c r="N520" t="s">
        <v>2180</v>
      </c>
      <c r="O520" t="s">
        <v>6329</v>
      </c>
      <c r="P520" t="s">
        <v>6330</v>
      </c>
      <c r="Q520" t="s">
        <v>6331</v>
      </c>
      <c r="R520" t="s">
        <v>74</v>
      </c>
      <c r="S520" t="s">
        <v>74</v>
      </c>
      <c r="T520" t="s">
        <v>74</v>
      </c>
      <c r="U520" t="s">
        <v>74</v>
      </c>
      <c r="V520" t="s">
        <v>6347</v>
      </c>
      <c r="W520" t="s">
        <v>758</v>
      </c>
      <c r="X520" t="s">
        <v>322</v>
      </c>
      <c r="Y520" t="s">
        <v>6344</v>
      </c>
      <c r="Z520" t="s">
        <v>74</v>
      </c>
      <c r="AA520" t="s">
        <v>74</v>
      </c>
      <c r="AB520" t="s">
        <v>74</v>
      </c>
      <c r="AC520" t="s">
        <v>74</v>
      </c>
      <c r="AD520" t="s">
        <v>74</v>
      </c>
      <c r="AE520" t="s">
        <v>74</v>
      </c>
      <c r="AF520" t="s">
        <v>74</v>
      </c>
      <c r="AG520">
        <v>0</v>
      </c>
      <c r="AH520">
        <v>10</v>
      </c>
      <c r="AI520">
        <v>10</v>
      </c>
      <c r="AJ520">
        <v>0</v>
      </c>
      <c r="AK520">
        <v>0</v>
      </c>
      <c r="AL520" t="s">
        <v>914</v>
      </c>
      <c r="AM520" t="s">
        <v>855</v>
      </c>
      <c r="AN520" t="s">
        <v>2630</v>
      </c>
      <c r="AO520" t="s">
        <v>6334</v>
      </c>
      <c r="AP520" t="s">
        <v>74</v>
      </c>
      <c r="AQ520" t="s">
        <v>6335</v>
      </c>
      <c r="AR520" t="s">
        <v>6336</v>
      </c>
      <c r="AS520" t="s">
        <v>74</v>
      </c>
      <c r="AT520" t="s">
        <v>74</v>
      </c>
      <c r="AU520">
        <v>1998</v>
      </c>
      <c r="AV520">
        <v>509</v>
      </c>
      <c r="AW520" t="s">
        <v>74</v>
      </c>
      <c r="AX520" t="s">
        <v>74</v>
      </c>
      <c r="AY520" t="s">
        <v>74</v>
      </c>
      <c r="AZ520" t="s">
        <v>74</v>
      </c>
      <c r="BA520" t="s">
        <v>74</v>
      </c>
      <c r="BB520">
        <v>281</v>
      </c>
      <c r="BC520">
        <v>288</v>
      </c>
      <c r="BD520" t="s">
        <v>74</v>
      </c>
      <c r="BE520" t="s">
        <v>74</v>
      </c>
      <c r="BF520" t="s">
        <v>74</v>
      </c>
      <c r="BG520" t="s">
        <v>74</v>
      </c>
      <c r="BH520" t="s">
        <v>74</v>
      </c>
      <c r="BI520">
        <v>8</v>
      </c>
      <c r="BJ520" t="s">
        <v>6337</v>
      </c>
      <c r="BK520" t="s">
        <v>2189</v>
      </c>
      <c r="BL520" t="s">
        <v>6338</v>
      </c>
      <c r="BM520" t="s">
        <v>6339</v>
      </c>
      <c r="BN520" t="s">
        <v>74</v>
      </c>
      <c r="BO520" t="s">
        <v>74</v>
      </c>
      <c r="BP520" t="s">
        <v>74</v>
      </c>
      <c r="BQ520" t="s">
        <v>74</v>
      </c>
      <c r="BR520" t="s">
        <v>101</v>
      </c>
      <c r="BS520" t="s">
        <v>6348</v>
      </c>
      <c r="BT520" t="str">
        <f>HYPERLINK("https%3A%2F%2Fwww.webofscience.com%2Fwos%2Fwoscc%2Ffull-record%2FWOS:000073073600021","View Full Record in Web of Science")</f>
        <v>View Full Record in Web of Science</v>
      </c>
    </row>
    <row r="521" spans="1:72" x14ac:dyDescent="0.15">
      <c r="A521" t="s">
        <v>1540</v>
      </c>
      <c r="B521" t="s">
        <v>6349</v>
      </c>
      <c r="C521" t="s">
        <v>74</v>
      </c>
      <c r="D521" t="s">
        <v>6350</v>
      </c>
      <c r="E521" t="s">
        <v>74</v>
      </c>
      <c r="F521" t="s">
        <v>6349</v>
      </c>
      <c r="G521" t="s">
        <v>74</v>
      </c>
      <c r="H521" t="s">
        <v>74</v>
      </c>
      <c r="I521" t="s">
        <v>6351</v>
      </c>
      <c r="J521" t="s">
        <v>6352</v>
      </c>
      <c r="K521" t="s">
        <v>2544</v>
      </c>
      <c r="L521" t="s">
        <v>74</v>
      </c>
      <c r="M521" t="s">
        <v>77</v>
      </c>
      <c r="N521" t="s">
        <v>379</v>
      </c>
      <c r="O521" t="s">
        <v>6353</v>
      </c>
      <c r="P521" t="s">
        <v>2522</v>
      </c>
      <c r="Q521" t="s">
        <v>2523</v>
      </c>
      <c r="R521" t="s">
        <v>74</v>
      </c>
      <c r="S521" t="s">
        <v>74</v>
      </c>
      <c r="T521" t="s">
        <v>74</v>
      </c>
      <c r="U521" t="s">
        <v>6354</v>
      </c>
      <c r="V521" t="s">
        <v>6355</v>
      </c>
      <c r="W521" t="s">
        <v>6356</v>
      </c>
      <c r="X521" t="s">
        <v>6357</v>
      </c>
      <c r="Y521" t="s">
        <v>6358</v>
      </c>
      <c r="Z521" t="s">
        <v>74</v>
      </c>
      <c r="AA521" t="s">
        <v>6359</v>
      </c>
      <c r="AB521" t="s">
        <v>6360</v>
      </c>
      <c r="AC521" t="s">
        <v>74</v>
      </c>
      <c r="AD521" t="s">
        <v>74</v>
      </c>
      <c r="AE521" t="s">
        <v>74</v>
      </c>
      <c r="AF521" t="s">
        <v>74</v>
      </c>
      <c r="AG521">
        <v>8</v>
      </c>
      <c r="AH521">
        <v>0</v>
      </c>
      <c r="AI521">
        <v>0</v>
      </c>
      <c r="AJ521">
        <v>0</v>
      </c>
      <c r="AK521">
        <v>1</v>
      </c>
      <c r="AL521" t="s">
        <v>2530</v>
      </c>
      <c r="AM521" t="s">
        <v>214</v>
      </c>
      <c r="AN521" t="s">
        <v>2531</v>
      </c>
      <c r="AO521" t="s">
        <v>2532</v>
      </c>
      <c r="AP521" t="s">
        <v>74</v>
      </c>
      <c r="AQ521" t="s">
        <v>6361</v>
      </c>
      <c r="AR521" t="s">
        <v>2552</v>
      </c>
      <c r="AS521" t="s">
        <v>74</v>
      </c>
      <c r="AT521" t="s">
        <v>74</v>
      </c>
      <c r="AU521">
        <v>1998</v>
      </c>
      <c r="AV521">
        <v>22</v>
      </c>
      <c r="AW521">
        <v>9</v>
      </c>
      <c r="AX521" t="s">
        <v>74</v>
      </c>
      <c r="AY521" t="s">
        <v>74</v>
      </c>
      <c r="AZ521" t="s">
        <v>74</v>
      </c>
      <c r="BA521" t="s">
        <v>74</v>
      </c>
      <c r="BB521">
        <v>1297</v>
      </c>
      <c r="BC521">
        <v>1300</v>
      </c>
      <c r="BD521" t="s">
        <v>74</v>
      </c>
      <c r="BE521" t="s">
        <v>6362</v>
      </c>
      <c r="BF521" t="str">
        <f>HYPERLINK("http://dx.doi.org/10.1016/S0273-1177(98)00175-6","http://dx.doi.org/10.1016/S0273-1177(98)00175-6")</f>
        <v>http://dx.doi.org/10.1016/S0273-1177(98)00175-6</v>
      </c>
      <c r="BG521" t="s">
        <v>74</v>
      </c>
      <c r="BH521" t="s">
        <v>74</v>
      </c>
      <c r="BI521">
        <v>4</v>
      </c>
      <c r="BJ521" t="s">
        <v>2536</v>
      </c>
      <c r="BK521" t="s">
        <v>397</v>
      </c>
      <c r="BL521" t="s">
        <v>2537</v>
      </c>
      <c r="BM521" t="s">
        <v>6363</v>
      </c>
      <c r="BN521" t="s">
        <v>74</v>
      </c>
      <c r="BO521" t="s">
        <v>74</v>
      </c>
      <c r="BP521" t="s">
        <v>74</v>
      </c>
      <c r="BQ521" t="s">
        <v>74</v>
      </c>
      <c r="BR521" t="s">
        <v>101</v>
      </c>
      <c r="BS521" t="s">
        <v>6364</v>
      </c>
      <c r="BT521" t="str">
        <f>HYPERLINK("https%3A%2F%2Fwww.webofscience.com%2Fwos%2Fwoscc%2Ffull-record%2FWOS:000078002400004","View Full Record in Web of Science")</f>
        <v>View Full Record in Web of Science</v>
      </c>
    </row>
    <row r="522" spans="1:72" x14ac:dyDescent="0.15">
      <c r="A522" t="s">
        <v>1540</v>
      </c>
      <c r="B522" t="s">
        <v>6365</v>
      </c>
      <c r="C522" t="s">
        <v>74</v>
      </c>
      <c r="D522" t="s">
        <v>6350</v>
      </c>
      <c r="E522" t="s">
        <v>74</v>
      </c>
      <c r="F522" t="s">
        <v>6365</v>
      </c>
      <c r="G522" t="s">
        <v>74</v>
      </c>
      <c r="H522" t="s">
        <v>74</v>
      </c>
      <c r="I522" t="s">
        <v>6366</v>
      </c>
      <c r="J522" t="s">
        <v>6352</v>
      </c>
      <c r="K522" t="s">
        <v>2520</v>
      </c>
      <c r="L522" t="s">
        <v>74</v>
      </c>
      <c r="M522" t="s">
        <v>77</v>
      </c>
      <c r="N522" t="s">
        <v>379</v>
      </c>
      <c r="O522" t="s">
        <v>6353</v>
      </c>
      <c r="P522" t="s">
        <v>2522</v>
      </c>
      <c r="Q522" t="s">
        <v>2523</v>
      </c>
      <c r="R522" t="s">
        <v>74</v>
      </c>
      <c r="S522" t="s">
        <v>74</v>
      </c>
      <c r="T522" t="s">
        <v>74</v>
      </c>
      <c r="U522" t="s">
        <v>6367</v>
      </c>
      <c r="V522" t="s">
        <v>6368</v>
      </c>
      <c r="W522" t="s">
        <v>6369</v>
      </c>
      <c r="X522" t="s">
        <v>3890</v>
      </c>
      <c r="Y522" t="s">
        <v>6370</v>
      </c>
      <c r="Z522" t="s">
        <v>74</v>
      </c>
      <c r="AA522" t="s">
        <v>74</v>
      </c>
      <c r="AB522" t="s">
        <v>74</v>
      </c>
      <c r="AC522" t="s">
        <v>74</v>
      </c>
      <c r="AD522" t="s">
        <v>74</v>
      </c>
      <c r="AE522" t="s">
        <v>74</v>
      </c>
      <c r="AF522" t="s">
        <v>74</v>
      </c>
      <c r="AG522">
        <v>13</v>
      </c>
      <c r="AH522">
        <v>3</v>
      </c>
      <c r="AI522">
        <v>3</v>
      </c>
      <c r="AJ522">
        <v>0</v>
      </c>
      <c r="AK522">
        <v>1</v>
      </c>
      <c r="AL522" t="s">
        <v>2530</v>
      </c>
      <c r="AM522" t="s">
        <v>214</v>
      </c>
      <c r="AN522" t="s">
        <v>2531</v>
      </c>
      <c r="AO522" t="s">
        <v>2532</v>
      </c>
      <c r="AP522" t="s">
        <v>74</v>
      </c>
      <c r="AQ522" t="s">
        <v>6361</v>
      </c>
      <c r="AR522" t="s">
        <v>2534</v>
      </c>
      <c r="AS522" t="s">
        <v>74</v>
      </c>
      <c r="AT522" t="s">
        <v>74</v>
      </c>
      <c r="AU522">
        <v>1998</v>
      </c>
      <c r="AV522">
        <v>22</v>
      </c>
      <c r="AW522">
        <v>9</v>
      </c>
      <c r="AX522" t="s">
        <v>74</v>
      </c>
      <c r="AY522" t="s">
        <v>74</v>
      </c>
      <c r="AZ522" t="s">
        <v>74</v>
      </c>
      <c r="BA522" t="s">
        <v>74</v>
      </c>
      <c r="BB522">
        <v>1391</v>
      </c>
      <c r="BC522">
        <v>1394</v>
      </c>
      <c r="BD522" t="s">
        <v>74</v>
      </c>
      <c r="BE522" t="s">
        <v>6371</v>
      </c>
      <c r="BF522" t="str">
        <f>HYPERLINK("http://dx.doi.org/10.1016/S0273-1177(98)00195-1","http://dx.doi.org/10.1016/S0273-1177(98)00195-1")</f>
        <v>http://dx.doi.org/10.1016/S0273-1177(98)00195-1</v>
      </c>
      <c r="BG522" t="s">
        <v>74</v>
      </c>
      <c r="BH522" t="s">
        <v>74</v>
      </c>
      <c r="BI522">
        <v>4</v>
      </c>
      <c r="BJ522" t="s">
        <v>2536</v>
      </c>
      <c r="BK522" t="s">
        <v>397</v>
      </c>
      <c r="BL522" t="s">
        <v>2537</v>
      </c>
      <c r="BM522" t="s">
        <v>6363</v>
      </c>
      <c r="BN522" t="s">
        <v>74</v>
      </c>
      <c r="BO522" t="s">
        <v>74</v>
      </c>
      <c r="BP522" t="s">
        <v>74</v>
      </c>
      <c r="BQ522" t="s">
        <v>74</v>
      </c>
      <c r="BR522" t="s">
        <v>101</v>
      </c>
      <c r="BS522" t="s">
        <v>6372</v>
      </c>
      <c r="BT522" t="str">
        <f>HYPERLINK("https%3A%2F%2Fwww.webofscience.com%2Fwos%2Fwoscc%2Ffull-record%2FWOS:000078002400024","View Full Record in Web of Science")</f>
        <v>View Full Record in Web of Science</v>
      </c>
    </row>
    <row r="523" spans="1:72" x14ac:dyDescent="0.15">
      <c r="A523" t="s">
        <v>2175</v>
      </c>
      <c r="B523" t="s">
        <v>6373</v>
      </c>
      <c r="C523" t="s">
        <v>74</v>
      </c>
      <c r="D523" t="s">
        <v>74</v>
      </c>
      <c r="E523" t="s">
        <v>6374</v>
      </c>
      <c r="F523" t="s">
        <v>6373</v>
      </c>
      <c r="G523" t="s">
        <v>74</v>
      </c>
      <c r="H523" t="s">
        <v>74</v>
      </c>
      <c r="I523" t="s">
        <v>6375</v>
      </c>
      <c r="J523" t="s">
        <v>6376</v>
      </c>
      <c r="K523" t="s">
        <v>74</v>
      </c>
      <c r="L523" t="s">
        <v>74</v>
      </c>
      <c r="M523" t="s">
        <v>77</v>
      </c>
      <c r="N523" t="s">
        <v>2180</v>
      </c>
      <c r="O523" t="s">
        <v>6377</v>
      </c>
      <c r="P523">
        <v>1998</v>
      </c>
      <c r="Q523" t="s">
        <v>6378</v>
      </c>
      <c r="R523" t="s">
        <v>74</v>
      </c>
      <c r="S523" t="s">
        <v>74</v>
      </c>
      <c r="T523" t="s">
        <v>74</v>
      </c>
      <c r="U523" t="s">
        <v>74</v>
      </c>
      <c r="V523" t="s">
        <v>74</v>
      </c>
      <c r="W523" t="s">
        <v>6379</v>
      </c>
      <c r="X523" t="s">
        <v>74</v>
      </c>
      <c r="Y523" t="s">
        <v>6380</v>
      </c>
      <c r="Z523" t="s">
        <v>74</v>
      </c>
      <c r="AA523" t="s">
        <v>74</v>
      </c>
      <c r="AB523" t="s">
        <v>74</v>
      </c>
      <c r="AC523" t="s">
        <v>74</v>
      </c>
      <c r="AD523" t="s">
        <v>74</v>
      </c>
      <c r="AE523" t="s">
        <v>74</v>
      </c>
      <c r="AF523" t="s">
        <v>74</v>
      </c>
      <c r="AG523">
        <v>0</v>
      </c>
      <c r="AH523">
        <v>0</v>
      </c>
      <c r="AI523">
        <v>0</v>
      </c>
      <c r="AJ523">
        <v>1</v>
      </c>
      <c r="AK523">
        <v>7</v>
      </c>
      <c r="AL523" t="s">
        <v>6381</v>
      </c>
      <c r="AM523" t="s">
        <v>6382</v>
      </c>
      <c r="AN523" t="s">
        <v>6383</v>
      </c>
      <c r="AO523" t="s">
        <v>74</v>
      </c>
      <c r="AP523" t="s">
        <v>74</v>
      </c>
      <c r="AQ523" t="s">
        <v>74</v>
      </c>
      <c r="AR523" t="s">
        <v>74</v>
      </c>
      <c r="AS523" t="s">
        <v>74</v>
      </c>
      <c r="AT523" t="s">
        <v>74</v>
      </c>
      <c r="AU523">
        <v>1998</v>
      </c>
      <c r="AV523" t="s">
        <v>74</v>
      </c>
      <c r="AW523" t="s">
        <v>74</v>
      </c>
      <c r="AX523" t="s">
        <v>74</v>
      </c>
      <c r="AY523" t="s">
        <v>74</v>
      </c>
      <c r="AZ523" t="s">
        <v>74</v>
      </c>
      <c r="BA523" t="s">
        <v>74</v>
      </c>
      <c r="BB523">
        <v>73</v>
      </c>
      <c r="BC523">
        <v>74</v>
      </c>
      <c r="BD523" t="s">
        <v>74</v>
      </c>
      <c r="BE523" t="s">
        <v>74</v>
      </c>
      <c r="BF523" t="s">
        <v>74</v>
      </c>
      <c r="BG523" t="s">
        <v>74</v>
      </c>
      <c r="BH523" t="s">
        <v>74</v>
      </c>
      <c r="BI523">
        <v>2</v>
      </c>
      <c r="BJ523" t="s">
        <v>6384</v>
      </c>
      <c r="BK523" t="s">
        <v>2189</v>
      </c>
      <c r="BL523" t="s">
        <v>6385</v>
      </c>
      <c r="BM523" t="s">
        <v>6386</v>
      </c>
      <c r="BN523" t="s">
        <v>74</v>
      </c>
      <c r="BO523" t="s">
        <v>74</v>
      </c>
      <c r="BP523" t="s">
        <v>74</v>
      </c>
      <c r="BQ523" t="s">
        <v>74</v>
      </c>
      <c r="BR523" t="s">
        <v>101</v>
      </c>
      <c r="BS523" t="s">
        <v>6387</v>
      </c>
      <c r="BT523" t="str">
        <f>HYPERLINK("https%3A%2F%2Fwww.webofscience.com%2Fwos%2Fwoscc%2Ffull-record%2FWOS:000085569900011","View Full Record in Web of Science")</f>
        <v>View Full Record in Web of Science</v>
      </c>
    </row>
    <row r="524" spans="1:72" x14ac:dyDescent="0.15">
      <c r="A524" t="s">
        <v>2175</v>
      </c>
      <c r="B524" t="s">
        <v>6388</v>
      </c>
      <c r="C524" t="s">
        <v>74</v>
      </c>
      <c r="D524" t="s">
        <v>6389</v>
      </c>
      <c r="E524" t="s">
        <v>74</v>
      </c>
      <c r="F524" t="s">
        <v>6388</v>
      </c>
      <c r="G524" t="s">
        <v>74</v>
      </c>
      <c r="H524" t="s">
        <v>74</v>
      </c>
      <c r="I524" t="s">
        <v>6390</v>
      </c>
      <c r="J524" t="s">
        <v>6391</v>
      </c>
      <c r="K524" t="s">
        <v>6392</v>
      </c>
      <c r="L524" t="s">
        <v>74</v>
      </c>
      <c r="M524" t="s">
        <v>77</v>
      </c>
      <c r="N524" t="s">
        <v>2180</v>
      </c>
      <c r="O524" t="s">
        <v>6393</v>
      </c>
      <c r="P524" t="s">
        <v>6394</v>
      </c>
      <c r="Q524" t="s">
        <v>6395</v>
      </c>
      <c r="R524" t="s">
        <v>74</v>
      </c>
      <c r="S524" t="s">
        <v>74</v>
      </c>
      <c r="T524" t="s">
        <v>6396</v>
      </c>
      <c r="U524" t="s">
        <v>74</v>
      </c>
      <c r="V524" t="s">
        <v>6397</v>
      </c>
      <c r="W524" t="s">
        <v>6398</v>
      </c>
      <c r="X524" t="s">
        <v>6399</v>
      </c>
      <c r="Y524" t="s">
        <v>6400</v>
      </c>
      <c r="Z524" t="s">
        <v>74</v>
      </c>
      <c r="AA524" t="s">
        <v>74</v>
      </c>
      <c r="AB524" t="s">
        <v>74</v>
      </c>
      <c r="AC524" t="s">
        <v>74</v>
      </c>
      <c r="AD524" t="s">
        <v>74</v>
      </c>
      <c r="AE524" t="s">
        <v>74</v>
      </c>
      <c r="AF524" t="s">
        <v>74</v>
      </c>
      <c r="AG524">
        <v>0</v>
      </c>
      <c r="AH524">
        <v>1</v>
      </c>
      <c r="AI524">
        <v>1</v>
      </c>
      <c r="AJ524">
        <v>0</v>
      </c>
      <c r="AK524">
        <v>1</v>
      </c>
      <c r="AL524" t="s">
        <v>6401</v>
      </c>
      <c r="AM524" t="s">
        <v>6402</v>
      </c>
      <c r="AN524" t="s">
        <v>6403</v>
      </c>
      <c r="AO524" t="s">
        <v>6404</v>
      </c>
      <c r="AP524" t="s">
        <v>74</v>
      </c>
      <c r="AQ524" t="s">
        <v>6405</v>
      </c>
      <c r="AR524" t="s">
        <v>6406</v>
      </c>
      <c r="AS524" t="s">
        <v>74</v>
      </c>
      <c r="AT524" t="s">
        <v>74</v>
      </c>
      <c r="AU524">
        <v>1998</v>
      </c>
      <c r="AV524" t="s">
        <v>74</v>
      </c>
      <c r="AW524" t="s">
        <v>74</v>
      </c>
      <c r="AX524" t="s">
        <v>74</v>
      </c>
      <c r="AY524" t="s">
        <v>74</v>
      </c>
      <c r="AZ524" t="s">
        <v>74</v>
      </c>
      <c r="BA524" t="s">
        <v>74</v>
      </c>
      <c r="BB524">
        <v>199</v>
      </c>
      <c r="BC524">
        <v>205</v>
      </c>
      <c r="BD524" t="s">
        <v>74</v>
      </c>
      <c r="BE524" t="s">
        <v>74</v>
      </c>
      <c r="BF524" t="s">
        <v>74</v>
      </c>
      <c r="BG524" t="s">
        <v>74</v>
      </c>
      <c r="BH524" t="s">
        <v>74</v>
      </c>
      <c r="BI524">
        <v>3</v>
      </c>
      <c r="BJ524" t="s">
        <v>6407</v>
      </c>
      <c r="BK524" t="s">
        <v>2189</v>
      </c>
      <c r="BL524" t="s">
        <v>6408</v>
      </c>
      <c r="BM524" t="s">
        <v>6409</v>
      </c>
      <c r="BN524" t="s">
        <v>74</v>
      </c>
      <c r="BO524" t="s">
        <v>74</v>
      </c>
      <c r="BP524" t="s">
        <v>74</v>
      </c>
      <c r="BQ524" t="s">
        <v>74</v>
      </c>
      <c r="BR524" t="s">
        <v>101</v>
      </c>
      <c r="BS524" t="s">
        <v>6410</v>
      </c>
      <c r="BT524" t="str">
        <f>HYPERLINK("https%3A%2F%2Fwww.webofscience.com%2Fwos%2Fwoscc%2Ffull-record%2FWOS:000075724700032","View Full Record in Web of Science")</f>
        <v>View Full Record in Web of Science</v>
      </c>
    </row>
    <row r="525" spans="1:72" x14ac:dyDescent="0.15">
      <c r="A525" t="s">
        <v>2175</v>
      </c>
      <c r="B525" t="s">
        <v>6411</v>
      </c>
      <c r="C525" t="s">
        <v>74</v>
      </c>
      <c r="D525" t="s">
        <v>6412</v>
      </c>
      <c r="E525" t="s">
        <v>74</v>
      </c>
      <c r="F525" t="s">
        <v>6411</v>
      </c>
      <c r="G525" t="s">
        <v>74</v>
      </c>
      <c r="H525" t="s">
        <v>74</v>
      </c>
      <c r="I525" t="s">
        <v>6413</v>
      </c>
      <c r="J525" t="s">
        <v>6414</v>
      </c>
      <c r="K525" t="s">
        <v>6392</v>
      </c>
      <c r="L525" t="s">
        <v>74</v>
      </c>
      <c r="M525" t="s">
        <v>77</v>
      </c>
      <c r="N525" t="s">
        <v>2180</v>
      </c>
      <c r="O525" t="s">
        <v>6393</v>
      </c>
      <c r="P525" t="s">
        <v>6394</v>
      </c>
      <c r="Q525" t="s">
        <v>6395</v>
      </c>
      <c r="R525" t="s">
        <v>74</v>
      </c>
      <c r="S525" t="s">
        <v>74</v>
      </c>
      <c r="T525" t="s">
        <v>6415</v>
      </c>
      <c r="U525" t="s">
        <v>74</v>
      </c>
      <c r="V525" t="s">
        <v>6416</v>
      </c>
      <c r="W525" t="s">
        <v>4429</v>
      </c>
      <c r="X525" t="s">
        <v>852</v>
      </c>
      <c r="Y525" t="s">
        <v>6417</v>
      </c>
      <c r="Z525" t="s">
        <v>74</v>
      </c>
      <c r="AA525" t="s">
        <v>74</v>
      </c>
      <c r="AB525" t="s">
        <v>74</v>
      </c>
      <c r="AC525" t="s">
        <v>74</v>
      </c>
      <c r="AD525" t="s">
        <v>74</v>
      </c>
      <c r="AE525" t="s">
        <v>74</v>
      </c>
      <c r="AF525" t="s">
        <v>74</v>
      </c>
      <c r="AG525">
        <v>0</v>
      </c>
      <c r="AH525">
        <v>3</v>
      </c>
      <c r="AI525">
        <v>3</v>
      </c>
      <c r="AJ525">
        <v>0</v>
      </c>
      <c r="AK525">
        <v>1</v>
      </c>
      <c r="AL525" t="s">
        <v>6401</v>
      </c>
      <c r="AM525" t="s">
        <v>6402</v>
      </c>
      <c r="AN525" t="s">
        <v>6403</v>
      </c>
      <c r="AO525" t="s">
        <v>6404</v>
      </c>
      <c r="AP525" t="s">
        <v>74</v>
      </c>
      <c r="AQ525" t="s">
        <v>6418</v>
      </c>
      <c r="AR525" t="s">
        <v>6406</v>
      </c>
      <c r="AS525" t="s">
        <v>74</v>
      </c>
      <c r="AT525" t="s">
        <v>74</v>
      </c>
      <c r="AU525">
        <v>1998</v>
      </c>
      <c r="AV525" t="s">
        <v>74</v>
      </c>
      <c r="AW525" t="s">
        <v>74</v>
      </c>
      <c r="AX525" t="s">
        <v>74</v>
      </c>
      <c r="AY525" t="s">
        <v>74</v>
      </c>
      <c r="AZ525" t="s">
        <v>74</v>
      </c>
      <c r="BA525" t="s">
        <v>74</v>
      </c>
      <c r="BB525">
        <v>452</v>
      </c>
      <c r="BC525">
        <v>459</v>
      </c>
      <c r="BD525" t="s">
        <v>74</v>
      </c>
      <c r="BE525" t="s">
        <v>74</v>
      </c>
      <c r="BF525" t="s">
        <v>74</v>
      </c>
      <c r="BG525" t="s">
        <v>74</v>
      </c>
      <c r="BH525" t="s">
        <v>74</v>
      </c>
      <c r="BI525">
        <v>4</v>
      </c>
      <c r="BJ525" t="s">
        <v>6419</v>
      </c>
      <c r="BK525" t="s">
        <v>2189</v>
      </c>
      <c r="BL525" t="s">
        <v>4009</v>
      </c>
      <c r="BM525" t="s">
        <v>6420</v>
      </c>
      <c r="BN525" t="s">
        <v>74</v>
      </c>
      <c r="BO525" t="s">
        <v>74</v>
      </c>
      <c r="BP525" t="s">
        <v>74</v>
      </c>
      <c r="BQ525" t="s">
        <v>74</v>
      </c>
      <c r="BR525" t="s">
        <v>101</v>
      </c>
      <c r="BS525" t="s">
        <v>6421</v>
      </c>
      <c r="BT525" t="str">
        <f>HYPERLINK("https%3A%2F%2Fwww.webofscience.com%2Fwos%2Fwoscc%2Ffull-record%2FWOS:000075723400069","View Full Record in Web of Science")</f>
        <v>View Full Record in Web of Science</v>
      </c>
    </row>
    <row r="526" spans="1:72" x14ac:dyDescent="0.15">
      <c r="A526" t="s">
        <v>2175</v>
      </c>
      <c r="B526" t="s">
        <v>6422</v>
      </c>
      <c r="C526" t="s">
        <v>74</v>
      </c>
      <c r="D526" t="s">
        <v>6412</v>
      </c>
      <c r="E526" t="s">
        <v>74</v>
      </c>
      <c r="F526" t="s">
        <v>6422</v>
      </c>
      <c r="G526" t="s">
        <v>74</v>
      </c>
      <c r="H526" t="s">
        <v>74</v>
      </c>
      <c r="I526" t="s">
        <v>6423</v>
      </c>
      <c r="J526" t="s">
        <v>6414</v>
      </c>
      <c r="K526" t="s">
        <v>6392</v>
      </c>
      <c r="L526" t="s">
        <v>74</v>
      </c>
      <c r="M526" t="s">
        <v>77</v>
      </c>
      <c r="N526" t="s">
        <v>2180</v>
      </c>
      <c r="O526" t="s">
        <v>6393</v>
      </c>
      <c r="P526" t="s">
        <v>6394</v>
      </c>
      <c r="Q526" t="s">
        <v>6395</v>
      </c>
      <c r="R526" t="s">
        <v>74</v>
      </c>
      <c r="S526" t="s">
        <v>74</v>
      </c>
      <c r="T526" t="s">
        <v>6424</v>
      </c>
      <c r="U526" t="s">
        <v>74</v>
      </c>
      <c r="V526" t="s">
        <v>6425</v>
      </c>
      <c r="W526" t="s">
        <v>4429</v>
      </c>
      <c r="X526" t="s">
        <v>852</v>
      </c>
      <c r="Y526" t="s">
        <v>6417</v>
      </c>
      <c r="Z526" t="s">
        <v>74</v>
      </c>
      <c r="AA526" t="s">
        <v>74</v>
      </c>
      <c r="AB526" t="s">
        <v>74</v>
      </c>
      <c r="AC526" t="s">
        <v>74</v>
      </c>
      <c r="AD526" t="s">
        <v>74</v>
      </c>
      <c r="AE526" t="s">
        <v>74</v>
      </c>
      <c r="AF526" t="s">
        <v>74</v>
      </c>
      <c r="AG526">
        <v>0</v>
      </c>
      <c r="AH526">
        <v>2</v>
      </c>
      <c r="AI526">
        <v>2</v>
      </c>
      <c r="AJ526">
        <v>0</v>
      </c>
      <c r="AK526">
        <v>0</v>
      </c>
      <c r="AL526" t="s">
        <v>6401</v>
      </c>
      <c r="AM526" t="s">
        <v>6402</v>
      </c>
      <c r="AN526" t="s">
        <v>6403</v>
      </c>
      <c r="AO526" t="s">
        <v>6404</v>
      </c>
      <c r="AP526" t="s">
        <v>74</v>
      </c>
      <c r="AQ526" t="s">
        <v>6418</v>
      </c>
      <c r="AR526" t="s">
        <v>6406</v>
      </c>
      <c r="AS526" t="s">
        <v>74</v>
      </c>
      <c r="AT526" t="s">
        <v>74</v>
      </c>
      <c r="AU526">
        <v>1998</v>
      </c>
      <c r="AV526" t="s">
        <v>74</v>
      </c>
      <c r="AW526" t="s">
        <v>74</v>
      </c>
      <c r="AX526" t="s">
        <v>74</v>
      </c>
      <c r="AY526" t="s">
        <v>74</v>
      </c>
      <c r="AZ526" t="s">
        <v>74</v>
      </c>
      <c r="BA526" t="s">
        <v>74</v>
      </c>
      <c r="BB526">
        <v>566</v>
      </c>
      <c r="BC526">
        <v>571</v>
      </c>
      <c r="BD526" t="s">
        <v>74</v>
      </c>
      <c r="BE526" t="s">
        <v>74</v>
      </c>
      <c r="BF526" t="s">
        <v>74</v>
      </c>
      <c r="BG526" t="s">
        <v>74</v>
      </c>
      <c r="BH526" t="s">
        <v>74</v>
      </c>
      <c r="BI526">
        <v>2</v>
      </c>
      <c r="BJ526" t="s">
        <v>6419</v>
      </c>
      <c r="BK526" t="s">
        <v>2189</v>
      </c>
      <c r="BL526" t="s">
        <v>4009</v>
      </c>
      <c r="BM526" t="s">
        <v>6420</v>
      </c>
      <c r="BN526" t="s">
        <v>74</v>
      </c>
      <c r="BO526" t="s">
        <v>74</v>
      </c>
      <c r="BP526" t="s">
        <v>74</v>
      </c>
      <c r="BQ526" t="s">
        <v>74</v>
      </c>
      <c r="BR526" t="s">
        <v>101</v>
      </c>
      <c r="BS526" t="s">
        <v>6426</v>
      </c>
      <c r="BT526" t="str">
        <f>HYPERLINK("https%3A%2F%2Fwww.webofscience.com%2Fwos%2Fwoscc%2Ffull-record%2FWOS:000075723400088","View Full Record in Web of Science")</f>
        <v>View Full Record in Web of Science</v>
      </c>
    </row>
    <row r="527" spans="1:72" x14ac:dyDescent="0.15">
      <c r="A527" t="s">
        <v>72</v>
      </c>
      <c r="B527" t="s">
        <v>6427</v>
      </c>
      <c r="C527" t="s">
        <v>74</v>
      </c>
      <c r="D527" t="s">
        <v>74</v>
      </c>
      <c r="E527" t="s">
        <v>74</v>
      </c>
      <c r="F527" t="s">
        <v>6427</v>
      </c>
      <c r="G527" t="s">
        <v>74</v>
      </c>
      <c r="H527" t="s">
        <v>74</v>
      </c>
      <c r="I527" t="s">
        <v>6428</v>
      </c>
      <c r="J527" t="s">
        <v>6429</v>
      </c>
      <c r="K527" t="s">
        <v>74</v>
      </c>
      <c r="L527" t="s">
        <v>74</v>
      </c>
      <c r="M527" t="s">
        <v>77</v>
      </c>
      <c r="N527" t="s">
        <v>78</v>
      </c>
      <c r="O527" t="s">
        <v>74</v>
      </c>
      <c r="P527" t="s">
        <v>74</v>
      </c>
      <c r="Q527" t="s">
        <v>74</v>
      </c>
      <c r="R527" t="s">
        <v>74</v>
      </c>
      <c r="S527" t="s">
        <v>74</v>
      </c>
      <c r="T527" t="s">
        <v>74</v>
      </c>
      <c r="U527" t="s">
        <v>6430</v>
      </c>
      <c r="V527" t="s">
        <v>6431</v>
      </c>
      <c r="W527" t="s">
        <v>6432</v>
      </c>
      <c r="X527" t="s">
        <v>74</v>
      </c>
      <c r="Y527" t="s">
        <v>6433</v>
      </c>
      <c r="Z527" t="s">
        <v>74</v>
      </c>
      <c r="AA527" t="s">
        <v>74</v>
      </c>
      <c r="AB527" t="s">
        <v>3622</v>
      </c>
      <c r="AC527" t="s">
        <v>74</v>
      </c>
      <c r="AD527" t="s">
        <v>74</v>
      </c>
      <c r="AE527" t="s">
        <v>74</v>
      </c>
      <c r="AF527" t="s">
        <v>74</v>
      </c>
      <c r="AG527">
        <v>80</v>
      </c>
      <c r="AH527">
        <v>45</v>
      </c>
      <c r="AI527">
        <v>48</v>
      </c>
      <c r="AJ527">
        <v>1</v>
      </c>
      <c r="AK527">
        <v>5</v>
      </c>
      <c r="AL527" t="s">
        <v>451</v>
      </c>
      <c r="AM527" t="s">
        <v>214</v>
      </c>
      <c r="AN527" t="s">
        <v>452</v>
      </c>
      <c r="AO527" t="s">
        <v>6434</v>
      </c>
      <c r="AP527" t="s">
        <v>74</v>
      </c>
      <c r="AQ527" t="s">
        <v>74</v>
      </c>
      <c r="AR527" t="s">
        <v>6435</v>
      </c>
      <c r="AS527" t="s">
        <v>6436</v>
      </c>
      <c r="AT527" t="s">
        <v>74</v>
      </c>
      <c r="AU527">
        <v>1998</v>
      </c>
      <c r="AV527">
        <v>17</v>
      </c>
      <c r="AW527" t="s">
        <v>6437</v>
      </c>
      <c r="AX527" t="s">
        <v>74</v>
      </c>
      <c r="AY527" t="s">
        <v>74</v>
      </c>
      <c r="AZ527" t="s">
        <v>74</v>
      </c>
      <c r="BA527" t="s">
        <v>74</v>
      </c>
      <c r="BB527">
        <v>319</v>
      </c>
      <c r="BC527">
        <v>332</v>
      </c>
      <c r="BD527" t="s">
        <v>74</v>
      </c>
      <c r="BE527" t="s">
        <v>6438</v>
      </c>
      <c r="BF527" t="str">
        <f>HYPERLINK("http://dx.doi.org/10.1016/S0277-3791(97)00051-6","http://dx.doi.org/10.1016/S0277-3791(97)00051-6")</f>
        <v>http://dx.doi.org/10.1016/S0277-3791(97)00051-6</v>
      </c>
      <c r="BG527" t="s">
        <v>74</v>
      </c>
      <c r="BH527" t="s">
        <v>74</v>
      </c>
      <c r="BI527">
        <v>14</v>
      </c>
      <c r="BJ527" t="s">
        <v>4239</v>
      </c>
      <c r="BK527" t="s">
        <v>98</v>
      </c>
      <c r="BL527" t="s">
        <v>4240</v>
      </c>
      <c r="BM527" t="s">
        <v>6439</v>
      </c>
      <c r="BN527" t="s">
        <v>74</v>
      </c>
      <c r="BO527" t="s">
        <v>74</v>
      </c>
      <c r="BP527" t="s">
        <v>74</v>
      </c>
      <c r="BQ527" t="s">
        <v>74</v>
      </c>
      <c r="BR527" t="s">
        <v>101</v>
      </c>
      <c r="BS527" t="s">
        <v>6440</v>
      </c>
      <c r="BT527" t="str">
        <f>HYPERLINK("https%3A%2F%2Fwww.webofscience.com%2Fwos%2Fwoscc%2Ffull-record%2FWOS:000074972700002","View Full Record in Web of Science")</f>
        <v>View Full Record in Web of Science</v>
      </c>
    </row>
    <row r="528" spans="1:72" x14ac:dyDescent="0.15">
      <c r="A528" t="s">
        <v>72</v>
      </c>
      <c r="B528" t="s">
        <v>6441</v>
      </c>
      <c r="C528" t="s">
        <v>74</v>
      </c>
      <c r="D528" t="s">
        <v>74</v>
      </c>
      <c r="E528" t="s">
        <v>74</v>
      </c>
      <c r="F528" t="s">
        <v>6441</v>
      </c>
      <c r="G528" t="s">
        <v>74</v>
      </c>
      <c r="H528" t="s">
        <v>74</v>
      </c>
      <c r="I528" t="s">
        <v>6442</v>
      </c>
      <c r="J528" t="s">
        <v>6429</v>
      </c>
      <c r="K528" t="s">
        <v>74</v>
      </c>
      <c r="L528" t="s">
        <v>74</v>
      </c>
      <c r="M528" t="s">
        <v>77</v>
      </c>
      <c r="N528" t="s">
        <v>78</v>
      </c>
      <c r="O528" t="s">
        <v>74</v>
      </c>
      <c r="P528" t="s">
        <v>74</v>
      </c>
      <c r="Q528" t="s">
        <v>74</v>
      </c>
      <c r="R528" t="s">
        <v>74</v>
      </c>
      <c r="S528" t="s">
        <v>74</v>
      </c>
      <c r="T528" t="s">
        <v>74</v>
      </c>
      <c r="U528" t="s">
        <v>6443</v>
      </c>
      <c r="V528" t="s">
        <v>6444</v>
      </c>
      <c r="W528" t="s">
        <v>6445</v>
      </c>
      <c r="X528" t="s">
        <v>3239</v>
      </c>
      <c r="Y528" t="s">
        <v>6446</v>
      </c>
      <c r="Z528" t="s">
        <v>74</v>
      </c>
      <c r="AA528" t="s">
        <v>74</v>
      </c>
      <c r="AB528" t="s">
        <v>74</v>
      </c>
      <c r="AC528" t="s">
        <v>74</v>
      </c>
      <c r="AD528" t="s">
        <v>74</v>
      </c>
      <c r="AE528" t="s">
        <v>74</v>
      </c>
      <c r="AF528" t="s">
        <v>74</v>
      </c>
      <c r="AG528">
        <v>21</v>
      </c>
      <c r="AH528">
        <v>44</v>
      </c>
      <c r="AI528">
        <v>51</v>
      </c>
      <c r="AJ528">
        <v>0</v>
      </c>
      <c r="AK528">
        <v>16</v>
      </c>
      <c r="AL528" t="s">
        <v>451</v>
      </c>
      <c r="AM528" t="s">
        <v>214</v>
      </c>
      <c r="AN528" t="s">
        <v>452</v>
      </c>
      <c r="AO528" t="s">
        <v>6434</v>
      </c>
      <c r="AP528" t="s">
        <v>74</v>
      </c>
      <c r="AQ528" t="s">
        <v>74</v>
      </c>
      <c r="AR528" t="s">
        <v>6435</v>
      </c>
      <c r="AS528" t="s">
        <v>6436</v>
      </c>
      <c r="AT528" t="s">
        <v>74</v>
      </c>
      <c r="AU528">
        <v>1998</v>
      </c>
      <c r="AV528">
        <v>17</v>
      </c>
      <c r="AW528">
        <v>8</v>
      </c>
      <c r="AX528" t="s">
        <v>74</v>
      </c>
      <c r="AY528" t="s">
        <v>74</v>
      </c>
      <c r="AZ528" t="s">
        <v>74</v>
      </c>
      <c r="BA528" t="s">
        <v>74</v>
      </c>
      <c r="BB528">
        <v>689</v>
      </c>
      <c r="BC528">
        <v>694</v>
      </c>
      <c r="BD528" t="s">
        <v>74</v>
      </c>
      <c r="BE528" t="s">
        <v>6447</v>
      </c>
      <c r="BF528" t="str">
        <f>HYPERLINK("http://dx.doi.org/10.1016/S0277-3791(98)00037-7","http://dx.doi.org/10.1016/S0277-3791(98)00037-7")</f>
        <v>http://dx.doi.org/10.1016/S0277-3791(98)00037-7</v>
      </c>
      <c r="BG528" t="s">
        <v>74</v>
      </c>
      <c r="BH528" t="s">
        <v>74</v>
      </c>
      <c r="BI528">
        <v>6</v>
      </c>
      <c r="BJ528" t="s">
        <v>4239</v>
      </c>
      <c r="BK528" t="s">
        <v>98</v>
      </c>
      <c r="BL528" t="s">
        <v>4240</v>
      </c>
      <c r="BM528" t="s">
        <v>6448</v>
      </c>
      <c r="BN528" t="s">
        <v>74</v>
      </c>
      <c r="BO528" t="s">
        <v>123</v>
      </c>
      <c r="BP528" t="s">
        <v>74</v>
      </c>
      <c r="BQ528" t="s">
        <v>74</v>
      </c>
      <c r="BR528" t="s">
        <v>101</v>
      </c>
      <c r="BS528" t="s">
        <v>6449</v>
      </c>
      <c r="BT528" t="str">
        <f>HYPERLINK("https%3A%2F%2Fwww.webofscience.com%2Fwos%2Fwoscc%2Ffull-record%2FWOS:000075966000001","View Full Record in Web of Science")</f>
        <v>View Full Record in Web of Science</v>
      </c>
    </row>
    <row r="529" spans="1:72" x14ac:dyDescent="0.15">
      <c r="A529" t="s">
        <v>72</v>
      </c>
      <c r="B529" t="s">
        <v>6450</v>
      </c>
      <c r="C529" t="s">
        <v>74</v>
      </c>
      <c r="D529" t="s">
        <v>74</v>
      </c>
      <c r="E529" t="s">
        <v>74</v>
      </c>
      <c r="F529" t="s">
        <v>6450</v>
      </c>
      <c r="G529" t="s">
        <v>74</v>
      </c>
      <c r="H529" t="s">
        <v>74</v>
      </c>
      <c r="I529" t="s">
        <v>6451</v>
      </c>
      <c r="J529" t="s">
        <v>6429</v>
      </c>
      <c r="K529" t="s">
        <v>74</v>
      </c>
      <c r="L529" t="s">
        <v>74</v>
      </c>
      <c r="M529" t="s">
        <v>77</v>
      </c>
      <c r="N529" t="s">
        <v>78</v>
      </c>
      <c r="O529" t="s">
        <v>74</v>
      </c>
      <c r="P529" t="s">
        <v>74</v>
      </c>
      <c r="Q529" t="s">
        <v>74</v>
      </c>
      <c r="R529" t="s">
        <v>74</v>
      </c>
      <c r="S529" t="s">
        <v>74</v>
      </c>
      <c r="T529" t="s">
        <v>74</v>
      </c>
      <c r="U529" t="s">
        <v>6452</v>
      </c>
      <c r="V529" t="s">
        <v>6453</v>
      </c>
      <c r="W529" t="s">
        <v>6454</v>
      </c>
      <c r="X529" t="s">
        <v>6455</v>
      </c>
      <c r="Y529" t="s">
        <v>6456</v>
      </c>
      <c r="Z529" t="s">
        <v>74</v>
      </c>
      <c r="AA529" t="s">
        <v>74</v>
      </c>
      <c r="AB529" t="s">
        <v>74</v>
      </c>
      <c r="AC529" t="s">
        <v>74</v>
      </c>
      <c r="AD529" t="s">
        <v>74</v>
      </c>
      <c r="AE529" t="s">
        <v>74</v>
      </c>
      <c r="AF529" t="s">
        <v>74</v>
      </c>
      <c r="AG529">
        <v>47</v>
      </c>
      <c r="AH529">
        <v>30</v>
      </c>
      <c r="AI529">
        <v>30</v>
      </c>
      <c r="AJ529">
        <v>0</v>
      </c>
      <c r="AK529">
        <v>10</v>
      </c>
      <c r="AL529" t="s">
        <v>451</v>
      </c>
      <c r="AM529" t="s">
        <v>214</v>
      </c>
      <c r="AN529" t="s">
        <v>452</v>
      </c>
      <c r="AO529" t="s">
        <v>6434</v>
      </c>
      <c r="AP529" t="s">
        <v>74</v>
      </c>
      <c r="AQ529" t="s">
        <v>74</v>
      </c>
      <c r="AR529" t="s">
        <v>6435</v>
      </c>
      <c r="AS529" t="s">
        <v>6436</v>
      </c>
      <c r="AT529" t="s">
        <v>74</v>
      </c>
      <c r="AU529">
        <v>1998</v>
      </c>
      <c r="AV529">
        <v>17</v>
      </c>
      <c r="AW529">
        <v>11</v>
      </c>
      <c r="AX529" t="s">
        <v>74</v>
      </c>
      <c r="AY529" t="s">
        <v>74</v>
      </c>
      <c r="AZ529" t="s">
        <v>74</v>
      </c>
      <c r="BA529" t="s">
        <v>74</v>
      </c>
      <c r="BB529">
        <v>1023</v>
      </c>
      <c r="BC529">
        <v>1032</v>
      </c>
      <c r="BD529" t="s">
        <v>74</v>
      </c>
      <c r="BE529" t="s">
        <v>6457</v>
      </c>
      <c r="BF529" t="str">
        <f>HYPERLINK("http://dx.doi.org/10.1016/S0277-3791(97)00089-9","http://dx.doi.org/10.1016/S0277-3791(97)00089-9")</f>
        <v>http://dx.doi.org/10.1016/S0277-3791(97)00089-9</v>
      </c>
      <c r="BG529" t="s">
        <v>74</v>
      </c>
      <c r="BH529" t="s">
        <v>74</v>
      </c>
      <c r="BI529">
        <v>10</v>
      </c>
      <c r="BJ529" t="s">
        <v>4239</v>
      </c>
      <c r="BK529" t="s">
        <v>98</v>
      </c>
      <c r="BL529" t="s">
        <v>4240</v>
      </c>
      <c r="BM529" t="s">
        <v>6458</v>
      </c>
      <c r="BN529" t="s">
        <v>74</v>
      </c>
      <c r="BO529" t="s">
        <v>74</v>
      </c>
      <c r="BP529" t="s">
        <v>74</v>
      </c>
      <c r="BQ529" t="s">
        <v>74</v>
      </c>
      <c r="BR529" t="s">
        <v>101</v>
      </c>
      <c r="BS529" t="s">
        <v>6459</v>
      </c>
      <c r="BT529" t="str">
        <f>HYPERLINK("https%3A%2F%2Fwww.webofscience.com%2Fwos%2Fwoscc%2Ffull-record%2FWOS:000076945200004","View Full Record in Web of Science")</f>
        <v>View Full Record in Web of Science</v>
      </c>
    </row>
    <row r="530" spans="1:72" x14ac:dyDescent="0.15">
      <c r="A530" t="s">
        <v>72</v>
      </c>
      <c r="B530" t="s">
        <v>6460</v>
      </c>
      <c r="C530" t="s">
        <v>74</v>
      </c>
      <c r="D530" t="s">
        <v>74</v>
      </c>
      <c r="E530" t="s">
        <v>74</v>
      </c>
      <c r="F530" t="s">
        <v>6460</v>
      </c>
      <c r="G530" t="s">
        <v>74</v>
      </c>
      <c r="H530" t="s">
        <v>74</v>
      </c>
      <c r="I530" t="s">
        <v>6461</v>
      </c>
      <c r="J530" t="s">
        <v>6429</v>
      </c>
      <c r="K530" t="s">
        <v>74</v>
      </c>
      <c r="L530" t="s">
        <v>74</v>
      </c>
      <c r="M530" t="s">
        <v>77</v>
      </c>
      <c r="N530" t="s">
        <v>78</v>
      </c>
      <c r="O530" t="s">
        <v>74</v>
      </c>
      <c r="P530" t="s">
        <v>74</v>
      </c>
      <c r="Q530" t="s">
        <v>74</v>
      </c>
      <c r="R530" t="s">
        <v>74</v>
      </c>
      <c r="S530" t="s">
        <v>74</v>
      </c>
      <c r="T530" t="s">
        <v>74</v>
      </c>
      <c r="U530" t="s">
        <v>6462</v>
      </c>
      <c r="V530" t="s">
        <v>6463</v>
      </c>
      <c r="W530" t="s">
        <v>6464</v>
      </c>
      <c r="X530" t="s">
        <v>6465</v>
      </c>
      <c r="Y530" t="s">
        <v>6466</v>
      </c>
      <c r="Z530" t="s">
        <v>6467</v>
      </c>
      <c r="AA530" t="s">
        <v>6468</v>
      </c>
      <c r="AB530" t="s">
        <v>74</v>
      </c>
      <c r="AC530" t="s">
        <v>74</v>
      </c>
      <c r="AD530" t="s">
        <v>74</v>
      </c>
      <c r="AE530" t="s">
        <v>74</v>
      </c>
      <c r="AF530" t="s">
        <v>74</v>
      </c>
      <c r="AG530">
        <v>93</v>
      </c>
      <c r="AH530">
        <v>164</v>
      </c>
      <c r="AI530">
        <v>170</v>
      </c>
      <c r="AJ530">
        <v>1</v>
      </c>
      <c r="AK530">
        <v>22</v>
      </c>
      <c r="AL530" t="s">
        <v>451</v>
      </c>
      <c r="AM530" t="s">
        <v>214</v>
      </c>
      <c r="AN530" t="s">
        <v>452</v>
      </c>
      <c r="AO530" t="s">
        <v>6434</v>
      </c>
      <c r="AP530" t="s">
        <v>74</v>
      </c>
      <c r="AQ530" t="s">
        <v>74</v>
      </c>
      <c r="AR530" t="s">
        <v>6435</v>
      </c>
      <c r="AS530" t="s">
        <v>6436</v>
      </c>
      <c r="AT530" t="s">
        <v>74</v>
      </c>
      <c r="AU530">
        <v>1998</v>
      </c>
      <c r="AV530">
        <v>17</v>
      </c>
      <c r="AW530">
        <v>12</v>
      </c>
      <c r="AX530" t="s">
        <v>74</v>
      </c>
      <c r="AY530" t="s">
        <v>74</v>
      </c>
      <c r="AZ530" t="s">
        <v>74</v>
      </c>
      <c r="BA530" t="s">
        <v>74</v>
      </c>
      <c r="BB530">
        <v>1185</v>
      </c>
      <c r="BC530">
        <v>1201</v>
      </c>
      <c r="BD530" t="s">
        <v>74</v>
      </c>
      <c r="BE530" t="s">
        <v>6469</v>
      </c>
      <c r="BF530" t="str">
        <f>HYPERLINK("http://dx.doi.org/10.1016/S0277-3791(97)00099-1","http://dx.doi.org/10.1016/S0277-3791(97)00099-1")</f>
        <v>http://dx.doi.org/10.1016/S0277-3791(97)00099-1</v>
      </c>
      <c r="BG530" t="s">
        <v>74</v>
      </c>
      <c r="BH530" t="s">
        <v>74</v>
      </c>
      <c r="BI530">
        <v>17</v>
      </c>
      <c r="BJ530" t="s">
        <v>4239</v>
      </c>
      <c r="BK530" t="s">
        <v>98</v>
      </c>
      <c r="BL530" t="s">
        <v>4240</v>
      </c>
      <c r="BM530" t="s">
        <v>6470</v>
      </c>
      <c r="BN530" t="s">
        <v>74</v>
      </c>
      <c r="BO530" t="s">
        <v>74</v>
      </c>
      <c r="BP530" t="s">
        <v>74</v>
      </c>
      <c r="BQ530" t="s">
        <v>74</v>
      </c>
      <c r="BR530" t="s">
        <v>101</v>
      </c>
      <c r="BS530" t="s">
        <v>6471</v>
      </c>
      <c r="BT530" t="str">
        <f>HYPERLINK("https%3A%2F%2Fwww.webofscience.com%2Fwos%2Fwoscc%2Ffull-record%2FWOS:000077558900007","View Full Record in Web of Science")</f>
        <v>View Full Record in Web of Science</v>
      </c>
    </row>
    <row r="531" spans="1:72" x14ac:dyDescent="0.15">
      <c r="A531" t="s">
        <v>72</v>
      </c>
      <c r="B531" t="s">
        <v>6472</v>
      </c>
      <c r="C531" t="s">
        <v>74</v>
      </c>
      <c r="D531" t="s">
        <v>74</v>
      </c>
      <c r="E531" t="s">
        <v>74</v>
      </c>
      <c r="F531" t="s">
        <v>6472</v>
      </c>
      <c r="G531" t="s">
        <v>74</v>
      </c>
      <c r="H531" t="s">
        <v>74</v>
      </c>
      <c r="I531" t="s">
        <v>6473</v>
      </c>
      <c r="J531" t="s">
        <v>6474</v>
      </c>
      <c r="K531" t="s">
        <v>74</v>
      </c>
      <c r="L531" t="s">
        <v>74</v>
      </c>
      <c r="M531" t="s">
        <v>77</v>
      </c>
      <c r="N531" t="s">
        <v>379</v>
      </c>
      <c r="O531" t="s">
        <v>6475</v>
      </c>
      <c r="P531" t="s">
        <v>6476</v>
      </c>
      <c r="Q531" t="s">
        <v>6477</v>
      </c>
      <c r="R531" t="s">
        <v>74</v>
      </c>
      <c r="S531" t="s">
        <v>74</v>
      </c>
      <c r="T531" t="s">
        <v>74</v>
      </c>
      <c r="U531" t="s">
        <v>74</v>
      </c>
      <c r="V531" t="s">
        <v>6478</v>
      </c>
      <c r="W531" t="s">
        <v>6479</v>
      </c>
      <c r="X531" t="s">
        <v>6480</v>
      </c>
      <c r="Y531" t="s">
        <v>6481</v>
      </c>
      <c r="Z531" t="s">
        <v>74</v>
      </c>
      <c r="AA531" t="s">
        <v>74</v>
      </c>
      <c r="AB531" t="s">
        <v>74</v>
      </c>
      <c r="AC531" t="s">
        <v>74</v>
      </c>
      <c r="AD531" t="s">
        <v>74</v>
      </c>
      <c r="AE531" t="s">
        <v>74</v>
      </c>
      <c r="AF531" t="s">
        <v>74</v>
      </c>
      <c r="AG531">
        <v>11</v>
      </c>
      <c r="AH531">
        <v>8</v>
      </c>
      <c r="AI531">
        <v>9</v>
      </c>
      <c r="AJ531">
        <v>1</v>
      </c>
      <c r="AK531">
        <v>3</v>
      </c>
      <c r="AL531" t="s">
        <v>6482</v>
      </c>
      <c r="AM531" t="s">
        <v>6483</v>
      </c>
      <c r="AN531" t="s">
        <v>6484</v>
      </c>
      <c r="AO531" t="s">
        <v>6485</v>
      </c>
      <c r="AP531" t="s">
        <v>74</v>
      </c>
      <c r="AQ531" t="s">
        <v>74</v>
      </c>
      <c r="AR531" t="s">
        <v>6474</v>
      </c>
      <c r="AS531" t="s">
        <v>6486</v>
      </c>
      <c r="AT531" t="s">
        <v>74</v>
      </c>
      <c r="AU531">
        <v>1998</v>
      </c>
      <c r="AV531">
        <v>40</v>
      </c>
      <c r="AW531">
        <v>2</v>
      </c>
      <c r="AX531">
        <v>2</v>
      </c>
      <c r="AY531" t="s">
        <v>74</v>
      </c>
      <c r="AZ531" t="s">
        <v>3941</v>
      </c>
      <c r="BA531" t="s">
        <v>74</v>
      </c>
      <c r="BB531">
        <v>849</v>
      </c>
      <c r="BC531">
        <v>854</v>
      </c>
      <c r="BD531" t="s">
        <v>74</v>
      </c>
      <c r="BE531" t="s">
        <v>74</v>
      </c>
      <c r="BF531" t="s">
        <v>74</v>
      </c>
      <c r="BG531" t="s">
        <v>74</v>
      </c>
      <c r="BH531" t="s">
        <v>74</v>
      </c>
      <c r="BI531">
        <v>6</v>
      </c>
      <c r="BJ531" t="s">
        <v>143</v>
      </c>
      <c r="BK531" t="s">
        <v>397</v>
      </c>
      <c r="BL531" t="s">
        <v>143</v>
      </c>
      <c r="BM531" t="s">
        <v>6487</v>
      </c>
      <c r="BN531" t="s">
        <v>74</v>
      </c>
      <c r="BO531" t="s">
        <v>74</v>
      </c>
      <c r="BP531" t="s">
        <v>74</v>
      </c>
      <c r="BQ531" t="s">
        <v>74</v>
      </c>
      <c r="BR531" t="s">
        <v>101</v>
      </c>
      <c r="BS531" t="s">
        <v>6488</v>
      </c>
      <c r="BT531" t="str">
        <f>HYPERLINK("https%3A%2F%2Fwww.webofscience.com%2Fwos%2Fwoscc%2Ffull-record%2FWOS:000075550800032","View Full Record in Web of Science")</f>
        <v>View Full Record in Web of Science</v>
      </c>
    </row>
    <row r="532" spans="1:72" x14ac:dyDescent="0.15">
      <c r="A532" t="s">
        <v>72</v>
      </c>
      <c r="B532" t="s">
        <v>6489</v>
      </c>
      <c r="C532" t="s">
        <v>74</v>
      </c>
      <c r="D532" t="s">
        <v>74</v>
      </c>
      <c r="E532" t="s">
        <v>74</v>
      </c>
      <c r="F532" t="s">
        <v>6489</v>
      </c>
      <c r="G532" t="s">
        <v>74</v>
      </c>
      <c r="H532" t="s">
        <v>74</v>
      </c>
      <c r="I532" t="s">
        <v>6490</v>
      </c>
      <c r="J532" t="s">
        <v>6491</v>
      </c>
      <c r="K532" t="s">
        <v>74</v>
      </c>
      <c r="L532" t="s">
        <v>74</v>
      </c>
      <c r="M532" t="s">
        <v>77</v>
      </c>
      <c r="N532" t="s">
        <v>78</v>
      </c>
      <c r="O532" t="s">
        <v>74</v>
      </c>
      <c r="P532" t="s">
        <v>74</v>
      </c>
      <c r="Q532" t="s">
        <v>74</v>
      </c>
      <c r="R532" t="s">
        <v>74</v>
      </c>
      <c r="S532" t="s">
        <v>74</v>
      </c>
      <c r="T532" t="s">
        <v>6492</v>
      </c>
      <c r="U532" t="s">
        <v>6493</v>
      </c>
      <c r="V532" t="s">
        <v>6494</v>
      </c>
      <c r="W532" t="s">
        <v>6495</v>
      </c>
      <c r="X532" t="s">
        <v>6496</v>
      </c>
      <c r="Y532" t="s">
        <v>6497</v>
      </c>
      <c r="Z532" t="s">
        <v>6498</v>
      </c>
      <c r="AA532" t="s">
        <v>6499</v>
      </c>
      <c r="AB532" t="s">
        <v>6500</v>
      </c>
      <c r="AC532" t="s">
        <v>74</v>
      </c>
      <c r="AD532" t="s">
        <v>74</v>
      </c>
      <c r="AE532" t="s">
        <v>74</v>
      </c>
      <c r="AF532" t="s">
        <v>74</v>
      </c>
      <c r="AG532">
        <v>50</v>
      </c>
      <c r="AH532">
        <v>161</v>
      </c>
      <c r="AI532">
        <v>200</v>
      </c>
      <c r="AJ532">
        <v>0</v>
      </c>
      <c r="AK532">
        <v>19</v>
      </c>
      <c r="AL532" t="s">
        <v>6501</v>
      </c>
      <c r="AM532" t="s">
        <v>6502</v>
      </c>
      <c r="AN532" t="s">
        <v>6503</v>
      </c>
      <c r="AO532" t="s">
        <v>6504</v>
      </c>
      <c r="AP532" t="s">
        <v>6505</v>
      </c>
      <c r="AQ532" t="s">
        <v>74</v>
      </c>
      <c r="AR532" t="s">
        <v>6506</v>
      </c>
      <c r="AS532" t="s">
        <v>6507</v>
      </c>
      <c r="AT532" t="s">
        <v>74</v>
      </c>
      <c r="AU532">
        <v>1998</v>
      </c>
      <c r="AV532">
        <v>10</v>
      </c>
      <c r="AW532">
        <v>4</v>
      </c>
      <c r="AX532" t="s">
        <v>74</v>
      </c>
      <c r="AY532" t="s">
        <v>74</v>
      </c>
      <c r="AZ532" t="s">
        <v>74</v>
      </c>
      <c r="BA532" t="s">
        <v>74</v>
      </c>
      <c r="BB532">
        <v>369</v>
      </c>
      <c r="BC532">
        <v>378</v>
      </c>
      <c r="BD532" t="s">
        <v>74</v>
      </c>
      <c r="BE532" t="s">
        <v>6508</v>
      </c>
      <c r="BF532" t="str">
        <f>HYPERLINK("http://dx.doi.org/10.1071/R98109","http://dx.doi.org/10.1071/R98109")</f>
        <v>http://dx.doi.org/10.1071/R98109</v>
      </c>
      <c r="BG532" t="s">
        <v>74</v>
      </c>
      <c r="BH532" t="s">
        <v>74</v>
      </c>
      <c r="BI532">
        <v>10</v>
      </c>
      <c r="BJ532" t="s">
        <v>6509</v>
      </c>
      <c r="BK532" t="s">
        <v>98</v>
      </c>
      <c r="BL532" t="s">
        <v>6509</v>
      </c>
      <c r="BM532" t="s">
        <v>6510</v>
      </c>
      <c r="BN532">
        <v>10355689</v>
      </c>
      <c r="BO532" t="s">
        <v>74</v>
      </c>
      <c r="BP532" t="s">
        <v>74</v>
      </c>
      <c r="BQ532" t="s">
        <v>74</v>
      </c>
      <c r="BR532" t="s">
        <v>101</v>
      </c>
      <c r="BS532" t="s">
        <v>6511</v>
      </c>
      <c r="BT532" t="str">
        <f>HYPERLINK("https%3A%2F%2Fwww.webofscience.com%2Fwos%2Fwoscc%2Ffull-record%2FWOS:000084561100009","View Full Record in Web of Science")</f>
        <v>View Full Record in Web of Science</v>
      </c>
    </row>
    <row r="533" spans="1:72" x14ac:dyDescent="0.15">
      <c r="A533" t="s">
        <v>72</v>
      </c>
      <c r="B533" t="s">
        <v>6512</v>
      </c>
      <c r="C533" t="s">
        <v>74</v>
      </c>
      <c r="D533" t="s">
        <v>74</v>
      </c>
      <c r="E533" t="s">
        <v>74</v>
      </c>
      <c r="F533" t="s">
        <v>6512</v>
      </c>
      <c r="G533" t="s">
        <v>74</v>
      </c>
      <c r="H533" t="s">
        <v>74</v>
      </c>
      <c r="I533" t="s">
        <v>6513</v>
      </c>
      <c r="J533" t="s">
        <v>6514</v>
      </c>
      <c r="K533" t="s">
        <v>74</v>
      </c>
      <c r="L533" t="s">
        <v>74</v>
      </c>
      <c r="M533" t="s">
        <v>77</v>
      </c>
      <c r="N533" t="s">
        <v>78</v>
      </c>
      <c r="O533" t="s">
        <v>74</v>
      </c>
      <c r="P533" t="s">
        <v>74</v>
      </c>
      <c r="Q533" t="s">
        <v>74</v>
      </c>
      <c r="R533" t="s">
        <v>74</v>
      </c>
      <c r="S533" t="s">
        <v>74</v>
      </c>
      <c r="T533" t="s">
        <v>74</v>
      </c>
      <c r="U533" t="s">
        <v>74</v>
      </c>
      <c r="V533" t="s">
        <v>6515</v>
      </c>
      <c r="W533" t="s">
        <v>6516</v>
      </c>
      <c r="X533" t="s">
        <v>74</v>
      </c>
      <c r="Y533" t="s">
        <v>6517</v>
      </c>
      <c r="Z533" t="s">
        <v>74</v>
      </c>
      <c r="AA533" t="s">
        <v>74</v>
      </c>
      <c r="AB533" t="s">
        <v>74</v>
      </c>
      <c r="AC533" t="s">
        <v>74</v>
      </c>
      <c r="AD533" t="s">
        <v>74</v>
      </c>
      <c r="AE533" t="s">
        <v>74</v>
      </c>
      <c r="AF533" t="s">
        <v>74</v>
      </c>
      <c r="AG533">
        <v>16</v>
      </c>
      <c r="AH533">
        <v>22</v>
      </c>
      <c r="AI533">
        <v>28</v>
      </c>
      <c r="AJ533">
        <v>0</v>
      </c>
      <c r="AK533">
        <v>1</v>
      </c>
      <c r="AL533" t="s">
        <v>6518</v>
      </c>
      <c r="AM533" t="s">
        <v>244</v>
      </c>
      <c r="AN533" t="s">
        <v>6519</v>
      </c>
      <c r="AO533" t="s">
        <v>6520</v>
      </c>
      <c r="AP533" t="s">
        <v>74</v>
      </c>
      <c r="AQ533" t="s">
        <v>74</v>
      </c>
      <c r="AR533" t="s">
        <v>6521</v>
      </c>
      <c r="AS533" t="s">
        <v>6522</v>
      </c>
      <c r="AT533" t="s">
        <v>4291</v>
      </c>
      <c r="AU533">
        <v>1998</v>
      </c>
      <c r="AV533">
        <v>29</v>
      </c>
      <c r="AW533">
        <v>1</v>
      </c>
      <c r="AX533" t="s">
        <v>74</v>
      </c>
      <c r="AY533" t="s">
        <v>74</v>
      </c>
      <c r="AZ533" t="s">
        <v>74</v>
      </c>
      <c r="BA533" t="s">
        <v>74</v>
      </c>
      <c r="BB533">
        <v>38</v>
      </c>
      <c r="BC533">
        <v>42</v>
      </c>
      <c r="BD533" t="s">
        <v>74</v>
      </c>
      <c r="BE533" t="s">
        <v>74</v>
      </c>
      <c r="BF533" t="s">
        <v>74</v>
      </c>
      <c r="BG533" t="s">
        <v>74</v>
      </c>
      <c r="BH533" t="s">
        <v>74</v>
      </c>
      <c r="BI533">
        <v>5</v>
      </c>
      <c r="BJ533" t="s">
        <v>1828</v>
      </c>
      <c r="BK533" t="s">
        <v>98</v>
      </c>
      <c r="BL533" t="s">
        <v>1545</v>
      </c>
      <c r="BM533" t="s">
        <v>6523</v>
      </c>
      <c r="BN533" t="s">
        <v>74</v>
      </c>
      <c r="BO533" t="s">
        <v>74</v>
      </c>
      <c r="BP533" t="s">
        <v>74</v>
      </c>
      <c r="BQ533" t="s">
        <v>74</v>
      </c>
      <c r="BR533" t="s">
        <v>101</v>
      </c>
      <c r="BS533" t="s">
        <v>6524</v>
      </c>
      <c r="BT533" t="str">
        <f>HYPERLINK("https%3A%2F%2Fwww.webofscience.com%2Fwos%2Fwoscc%2Ffull-record%2FWOS:000072007500007","View Full Record in Web of Science")</f>
        <v>View Full Record in Web of Science</v>
      </c>
    </row>
    <row r="534" spans="1:72" x14ac:dyDescent="0.15">
      <c r="A534" t="s">
        <v>2175</v>
      </c>
      <c r="B534" t="s">
        <v>6525</v>
      </c>
      <c r="C534" t="s">
        <v>74</v>
      </c>
      <c r="D534" t="s">
        <v>6526</v>
      </c>
      <c r="E534" t="s">
        <v>74</v>
      </c>
      <c r="F534" t="s">
        <v>6525</v>
      </c>
      <c r="G534" t="s">
        <v>74</v>
      </c>
      <c r="H534" t="s">
        <v>74</v>
      </c>
      <c r="I534" t="s">
        <v>6527</v>
      </c>
      <c r="J534" t="s">
        <v>6528</v>
      </c>
      <c r="K534" t="s">
        <v>2562</v>
      </c>
      <c r="L534" t="s">
        <v>74</v>
      </c>
      <c r="M534" t="s">
        <v>77</v>
      </c>
      <c r="N534" t="s">
        <v>2180</v>
      </c>
      <c r="O534" t="s">
        <v>6529</v>
      </c>
      <c r="P534" t="s">
        <v>6530</v>
      </c>
      <c r="Q534" t="s">
        <v>6531</v>
      </c>
      <c r="R534" t="s">
        <v>74</v>
      </c>
      <c r="S534" t="s">
        <v>74</v>
      </c>
      <c r="T534" t="s">
        <v>6532</v>
      </c>
      <c r="U534" t="s">
        <v>74</v>
      </c>
      <c r="V534" t="s">
        <v>6533</v>
      </c>
      <c r="W534" t="s">
        <v>6534</v>
      </c>
      <c r="X534" t="s">
        <v>6535</v>
      </c>
      <c r="Y534" t="s">
        <v>6536</v>
      </c>
      <c r="Z534" t="s">
        <v>74</v>
      </c>
      <c r="AA534" t="s">
        <v>74</v>
      </c>
      <c r="AB534" t="s">
        <v>74</v>
      </c>
      <c r="AC534" t="s">
        <v>74</v>
      </c>
      <c r="AD534" t="s">
        <v>74</v>
      </c>
      <c r="AE534" t="s">
        <v>74</v>
      </c>
      <c r="AF534" t="s">
        <v>74</v>
      </c>
      <c r="AG534">
        <v>0</v>
      </c>
      <c r="AH534">
        <v>0</v>
      </c>
      <c r="AI534">
        <v>0</v>
      </c>
      <c r="AJ534">
        <v>0</v>
      </c>
      <c r="AK534">
        <v>1</v>
      </c>
      <c r="AL534" t="s">
        <v>2573</v>
      </c>
      <c r="AM534" t="s">
        <v>2574</v>
      </c>
      <c r="AN534" t="s">
        <v>2575</v>
      </c>
      <c r="AO534" t="s">
        <v>2576</v>
      </c>
      <c r="AP534" t="s">
        <v>74</v>
      </c>
      <c r="AQ534" t="s">
        <v>6537</v>
      </c>
      <c r="AR534" t="s">
        <v>2578</v>
      </c>
      <c r="AS534" t="s">
        <v>74</v>
      </c>
      <c r="AT534" t="s">
        <v>74</v>
      </c>
      <c r="AU534">
        <v>1998</v>
      </c>
      <c r="AV534">
        <v>3220</v>
      </c>
      <c r="AW534" t="s">
        <v>74</v>
      </c>
      <c r="AX534" t="s">
        <v>74</v>
      </c>
      <c r="AY534" t="s">
        <v>74</v>
      </c>
      <c r="AZ534" t="s">
        <v>74</v>
      </c>
      <c r="BA534" t="s">
        <v>74</v>
      </c>
      <c r="BB534">
        <v>270</v>
      </c>
      <c r="BC534">
        <v>278</v>
      </c>
      <c r="BD534" t="s">
        <v>74</v>
      </c>
      <c r="BE534" t="s">
        <v>74</v>
      </c>
      <c r="BF534" t="s">
        <v>74</v>
      </c>
      <c r="BG534" t="s">
        <v>74</v>
      </c>
      <c r="BH534" t="s">
        <v>74</v>
      </c>
      <c r="BI534">
        <v>9</v>
      </c>
      <c r="BJ534" t="s">
        <v>5989</v>
      </c>
      <c r="BK534" t="s">
        <v>2189</v>
      </c>
      <c r="BL534" t="s">
        <v>5989</v>
      </c>
      <c r="BM534" t="s">
        <v>6538</v>
      </c>
      <c r="BN534" t="s">
        <v>74</v>
      </c>
      <c r="BO534" t="s">
        <v>74</v>
      </c>
      <c r="BP534" t="s">
        <v>74</v>
      </c>
      <c r="BQ534" t="s">
        <v>74</v>
      </c>
      <c r="BR534" t="s">
        <v>101</v>
      </c>
      <c r="BS534" t="s">
        <v>6539</v>
      </c>
      <c r="BT534" t="str">
        <f>HYPERLINK("https%3A%2F%2Fwww.webofscience.com%2Fwos%2Fwoscc%2Ffull-record%2FWOS:000072275500029","View Full Record in Web of Science")</f>
        <v>View Full Record in Web of Science</v>
      </c>
    </row>
    <row r="535" spans="1:72" x14ac:dyDescent="0.15">
      <c r="A535" t="s">
        <v>72</v>
      </c>
      <c r="B535" t="s">
        <v>6540</v>
      </c>
      <c r="C535" t="s">
        <v>74</v>
      </c>
      <c r="D535" t="s">
        <v>74</v>
      </c>
      <c r="E535" t="s">
        <v>74</v>
      </c>
      <c r="F535" t="s">
        <v>6540</v>
      </c>
      <c r="G535" t="s">
        <v>74</v>
      </c>
      <c r="H535" t="s">
        <v>74</v>
      </c>
      <c r="I535" t="s">
        <v>6541</v>
      </c>
      <c r="J535" t="s">
        <v>6542</v>
      </c>
      <c r="K535" t="s">
        <v>74</v>
      </c>
      <c r="L535" t="s">
        <v>74</v>
      </c>
      <c r="M535" t="s">
        <v>77</v>
      </c>
      <c r="N535" t="s">
        <v>78</v>
      </c>
      <c r="O535" t="s">
        <v>74</v>
      </c>
      <c r="P535" t="s">
        <v>74</v>
      </c>
      <c r="Q535" t="s">
        <v>74</v>
      </c>
      <c r="R535" t="s">
        <v>74</v>
      </c>
      <c r="S535" t="s">
        <v>74</v>
      </c>
      <c r="T535" t="s">
        <v>6543</v>
      </c>
      <c r="U535" t="s">
        <v>6544</v>
      </c>
      <c r="V535" t="s">
        <v>6545</v>
      </c>
      <c r="W535" t="s">
        <v>6546</v>
      </c>
      <c r="X535" t="s">
        <v>6547</v>
      </c>
      <c r="Y535" t="s">
        <v>6548</v>
      </c>
      <c r="Z535" t="s">
        <v>6549</v>
      </c>
      <c r="AA535" t="s">
        <v>6550</v>
      </c>
      <c r="AB535" t="s">
        <v>6551</v>
      </c>
      <c r="AC535" t="s">
        <v>74</v>
      </c>
      <c r="AD535" t="s">
        <v>74</v>
      </c>
      <c r="AE535" t="s">
        <v>74</v>
      </c>
      <c r="AF535" t="s">
        <v>74</v>
      </c>
      <c r="AG535">
        <v>39</v>
      </c>
      <c r="AH535">
        <v>17</v>
      </c>
      <c r="AI535">
        <v>17</v>
      </c>
      <c r="AJ535">
        <v>1</v>
      </c>
      <c r="AK535">
        <v>6</v>
      </c>
      <c r="AL535" t="s">
        <v>6552</v>
      </c>
      <c r="AM535" t="s">
        <v>6553</v>
      </c>
      <c r="AN535" t="s">
        <v>6554</v>
      </c>
      <c r="AO535" t="s">
        <v>6555</v>
      </c>
      <c r="AP535" t="s">
        <v>74</v>
      </c>
      <c r="AQ535" t="s">
        <v>74</v>
      </c>
      <c r="AR535" t="s">
        <v>6556</v>
      </c>
      <c r="AS535" t="s">
        <v>6557</v>
      </c>
      <c r="AT535" t="s">
        <v>74</v>
      </c>
      <c r="AU535">
        <v>1998</v>
      </c>
      <c r="AV535">
        <v>78</v>
      </c>
      <c r="AW535">
        <v>3</v>
      </c>
      <c r="AX535" t="s">
        <v>74</v>
      </c>
      <c r="AY535" t="s">
        <v>74</v>
      </c>
      <c r="AZ535" t="s">
        <v>74</v>
      </c>
      <c r="BA535" t="s">
        <v>74</v>
      </c>
      <c r="BB535">
        <v>375</v>
      </c>
      <c r="BC535">
        <v>382</v>
      </c>
      <c r="BD535" t="s">
        <v>74</v>
      </c>
      <c r="BE535" t="s">
        <v>74</v>
      </c>
      <c r="BF535" t="s">
        <v>74</v>
      </c>
      <c r="BG535" t="s">
        <v>74</v>
      </c>
      <c r="BH535" t="s">
        <v>74</v>
      </c>
      <c r="BI535">
        <v>8</v>
      </c>
      <c r="BJ535" t="s">
        <v>6558</v>
      </c>
      <c r="BK535" t="s">
        <v>98</v>
      </c>
      <c r="BL535" t="s">
        <v>6558</v>
      </c>
      <c r="BM535" t="s">
        <v>6559</v>
      </c>
      <c r="BN535" t="s">
        <v>74</v>
      </c>
      <c r="BO535" t="s">
        <v>74</v>
      </c>
      <c r="BP535" t="s">
        <v>74</v>
      </c>
      <c r="BQ535" t="s">
        <v>74</v>
      </c>
      <c r="BR535" t="s">
        <v>101</v>
      </c>
      <c r="BS535" t="s">
        <v>6560</v>
      </c>
      <c r="BT535" t="str">
        <f>HYPERLINK("https%3A%2F%2Fwww.webofscience.com%2Fwos%2Fwoscc%2Ffull-record%2FWOS:000077530500002","View Full Record in Web of Science")</f>
        <v>View Full Record in Web of Science</v>
      </c>
    </row>
    <row r="536" spans="1:72" x14ac:dyDescent="0.15">
      <c r="A536" t="s">
        <v>72</v>
      </c>
      <c r="B536" t="s">
        <v>6561</v>
      </c>
      <c r="C536" t="s">
        <v>74</v>
      </c>
      <c r="D536" t="s">
        <v>74</v>
      </c>
      <c r="E536" t="s">
        <v>74</v>
      </c>
      <c r="F536" t="s">
        <v>6561</v>
      </c>
      <c r="G536" t="s">
        <v>74</v>
      </c>
      <c r="H536" t="s">
        <v>74</v>
      </c>
      <c r="I536" t="s">
        <v>6562</v>
      </c>
      <c r="J536" t="s">
        <v>6563</v>
      </c>
      <c r="K536" t="s">
        <v>74</v>
      </c>
      <c r="L536" t="s">
        <v>74</v>
      </c>
      <c r="M536" t="s">
        <v>77</v>
      </c>
      <c r="N536" t="s">
        <v>379</v>
      </c>
      <c r="O536" t="s">
        <v>6564</v>
      </c>
      <c r="P536" t="s">
        <v>6565</v>
      </c>
      <c r="Q536" t="s">
        <v>6566</v>
      </c>
      <c r="R536" t="s">
        <v>74</v>
      </c>
      <c r="S536" t="s">
        <v>74</v>
      </c>
      <c r="T536" t="s">
        <v>6567</v>
      </c>
      <c r="U536" t="s">
        <v>6568</v>
      </c>
      <c r="V536" t="s">
        <v>6569</v>
      </c>
      <c r="W536" t="s">
        <v>6570</v>
      </c>
      <c r="X536" t="s">
        <v>6571</v>
      </c>
      <c r="Y536" t="s">
        <v>6572</v>
      </c>
      <c r="Z536" t="s">
        <v>74</v>
      </c>
      <c r="AA536" t="s">
        <v>74</v>
      </c>
      <c r="AB536" t="s">
        <v>6573</v>
      </c>
      <c r="AC536" t="s">
        <v>74</v>
      </c>
      <c r="AD536" t="s">
        <v>74</v>
      </c>
      <c r="AE536" t="s">
        <v>74</v>
      </c>
      <c r="AF536" t="s">
        <v>74</v>
      </c>
      <c r="AG536">
        <v>42</v>
      </c>
      <c r="AH536">
        <v>85</v>
      </c>
      <c r="AI536">
        <v>91</v>
      </c>
      <c r="AJ536">
        <v>1</v>
      </c>
      <c r="AK536">
        <v>9</v>
      </c>
      <c r="AL536" t="s">
        <v>1029</v>
      </c>
      <c r="AM536" t="s">
        <v>1030</v>
      </c>
      <c r="AN536" t="s">
        <v>1031</v>
      </c>
      <c r="AO536" t="s">
        <v>6574</v>
      </c>
      <c r="AP536" t="s">
        <v>74</v>
      </c>
      <c r="AQ536" t="s">
        <v>74</v>
      </c>
      <c r="AR536" t="s">
        <v>6575</v>
      </c>
      <c r="AS536" t="s">
        <v>6576</v>
      </c>
      <c r="AT536" t="s">
        <v>2502</v>
      </c>
      <c r="AU536">
        <v>1998</v>
      </c>
      <c r="AV536">
        <v>115</v>
      </c>
      <c r="AW536" t="s">
        <v>4183</v>
      </c>
      <c r="AX536" t="s">
        <v>74</v>
      </c>
      <c r="AY536" t="s">
        <v>74</v>
      </c>
      <c r="AZ536" t="s">
        <v>74</v>
      </c>
      <c r="BA536" t="s">
        <v>74</v>
      </c>
      <c r="BB536">
        <v>33</v>
      </c>
      <c r="BC536">
        <v>51</v>
      </c>
      <c r="BD536" t="s">
        <v>74</v>
      </c>
      <c r="BE536" t="s">
        <v>6577</v>
      </c>
      <c r="BF536" t="str">
        <f>HYPERLINK("http://dx.doi.org/10.1016/S0037-0738(97)00086-9","http://dx.doi.org/10.1016/S0037-0738(97)00086-9")</f>
        <v>http://dx.doi.org/10.1016/S0037-0738(97)00086-9</v>
      </c>
      <c r="BG536" t="s">
        <v>74</v>
      </c>
      <c r="BH536" t="s">
        <v>74</v>
      </c>
      <c r="BI536">
        <v>19</v>
      </c>
      <c r="BJ536" t="s">
        <v>471</v>
      </c>
      <c r="BK536" t="s">
        <v>397</v>
      </c>
      <c r="BL536" t="s">
        <v>471</v>
      </c>
      <c r="BM536" t="s">
        <v>6578</v>
      </c>
      <c r="BN536" t="s">
        <v>74</v>
      </c>
      <c r="BO536" t="s">
        <v>74</v>
      </c>
      <c r="BP536" t="s">
        <v>74</v>
      </c>
      <c r="BQ536" t="s">
        <v>74</v>
      </c>
      <c r="BR536" t="s">
        <v>101</v>
      </c>
      <c r="BS536" t="s">
        <v>6579</v>
      </c>
      <c r="BT536" t="str">
        <f>HYPERLINK("https%3A%2F%2Fwww.webofscience.com%2Fwos%2Fwoscc%2Ffull-record%2FWOS:000072058700003","View Full Record in Web of Science")</f>
        <v>View Full Record in Web of Science</v>
      </c>
    </row>
    <row r="537" spans="1:72" x14ac:dyDescent="0.15">
      <c r="A537" t="s">
        <v>72</v>
      </c>
      <c r="B537" t="s">
        <v>6580</v>
      </c>
      <c r="C537" t="s">
        <v>74</v>
      </c>
      <c r="D537" t="s">
        <v>74</v>
      </c>
      <c r="E537" t="s">
        <v>74</v>
      </c>
      <c r="F537" t="s">
        <v>6580</v>
      </c>
      <c r="G537" t="s">
        <v>74</v>
      </c>
      <c r="H537" t="s">
        <v>74</v>
      </c>
      <c r="I537" t="s">
        <v>6581</v>
      </c>
      <c r="J537" t="s">
        <v>6563</v>
      </c>
      <c r="K537" t="s">
        <v>74</v>
      </c>
      <c r="L537" t="s">
        <v>74</v>
      </c>
      <c r="M537" t="s">
        <v>77</v>
      </c>
      <c r="N537" t="s">
        <v>379</v>
      </c>
      <c r="O537" t="s">
        <v>6564</v>
      </c>
      <c r="P537" t="s">
        <v>6565</v>
      </c>
      <c r="Q537" t="s">
        <v>6566</v>
      </c>
      <c r="R537" t="s">
        <v>74</v>
      </c>
      <c r="S537" t="s">
        <v>74</v>
      </c>
      <c r="T537" t="s">
        <v>6582</v>
      </c>
      <c r="U537" t="s">
        <v>6583</v>
      </c>
      <c r="V537" t="s">
        <v>6584</v>
      </c>
      <c r="W537" t="s">
        <v>6585</v>
      </c>
      <c r="X537" t="s">
        <v>6586</v>
      </c>
      <c r="Y537" t="s">
        <v>6587</v>
      </c>
      <c r="Z537" t="s">
        <v>6588</v>
      </c>
      <c r="AA537" t="s">
        <v>74</v>
      </c>
      <c r="AB537" t="s">
        <v>74</v>
      </c>
      <c r="AC537" t="s">
        <v>74</v>
      </c>
      <c r="AD537" t="s">
        <v>74</v>
      </c>
      <c r="AE537" t="s">
        <v>74</v>
      </c>
      <c r="AF537" t="s">
        <v>74</v>
      </c>
      <c r="AG537">
        <v>71</v>
      </c>
      <c r="AH537">
        <v>30</v>
      </c>
      <c r="AI537">
        <v>37</v>
      </c>
      <c r="AJ537">
        <v>1</v>
      </c>
      <c r="AK537">
        <v>8</v>
      </c>
      <c r="AL537" t="s">
        <v>1029</v>
      </c>
      <c r="AM537" t="s">
        <v>1030</v>
      </c>
      <c r="AN537" t="s">
        <v>1031</v>
      </c>
      <c r="AO537" t="s">
        <v>6574</v>
      </c>
      <c r="AP537" t="s">
        <v>74</v>
      </c>
      <c r="AQ537" t="s">
        <v>74</v>
      </c>
      <c r="AR537" t="s">
        <v>6575</v>
      </c>
      <c r="AS537" t="s">
        <v>6576</v>
      </c>
      <c r="AT537" t="s">
        <v>2502</v>
      </c>
      <c r="AU537">
        <v>1998</v>
      </c>
      <c r="AV537">
        <v>115</v>
      </c>
      <c r="AW537" t="s">
        <v>4183</v>
      </c>
      <c r="AX537" t="s">
        <v>74</v>
      </c>
      <c r="AY537" t="s">
        <v>74</v>
      </c>
      <c r="AZ537" t="s">
        <v>74</v>
      </c>
      <c r="BA537" t="s">
        <v>74</v>
      </c>
      <c r="BB537">
        <v>81</v>
      </c>
      <c r="BC537">
        <v>110</v>
      </c>
      <c r="BD537" t="s">
        <v>74</v>
      </c>
      <c r="BE537" t="s">
        <v>6589</v>
      </c>
      <c r="BF537" t="str">
        <f>HYPERLINK("http://dx.doi.org/10.1016/S0037-0738(97)00088-2","http://dx.doi.org/10.1016/S0037-0738(97)00088-2")</f>
        <v>http://dx.doi.org/10.1016/S0037-0738(97)00088-2</v>
      </c>
      <c r="BG537" t="s">
        <v>74</v>
      </c>
      <c r="BH537" t="s">
        <v>74</v>
      </c>
      <c r="BI537">
        <v>30</v>
      </c>
      <c r="BJ537" t="s">
        <v>471</v>
      </c>
      <c r="BK537" t="s">
        <v>397</v>
      </c>
      <c r="BL537" t="s">
        <v>471</v>
      </c>
      <c r="BM537" t="s">
        <v>6578</v>
      </c>
      <c r="BN537" t="s">
        <v>74</v>
      </c>
      <c r="BO537" t="s">
        <v>74</v>
      </c>
      <c r="BP537" t="s">
        <v>74</v>
      </c>
      <c r="BQ537" t="s">
        <v>74</v>
      </c>
      <c r="BR537" t="s">
        <v>101</v>
      </c>
      <c r="BS537" t="s">
        <v>6590</v>
      </c>
      <c r="BT537" t="str">
        <f>HYPERLINK("https%3A%2F%2Fwww.webofscience.com%2Fwos%2Fwoscc%2Ffull-record%2FWOS:000072058700005","View Full Record in Web of Science")</f>
        <v>View Full Record in Web of Science</v>
      </c>
    </row>
    <row r="538" spans="1:72" x14ac:dyDescent="0.15">
      <c r="A538" t="s">
        <v>72</v>
      </c>
      <c r="B538" t="s">
        <v>6591</v>
      </c>
      <c r="C538" t="s">
        <v>74</v>
      </c>
      <c r="D538" t="s">
        <v>74</v>
      </c>
      <c r="E538" t="s">
        <v>74</v>
      </c>
      <c r="F538" t="s">
        <v>6591</v>
      </c>
      <c r="G538" t="s">
        <v>74</v>
      </c>
      <c r="H538" t="s">
        <v>74</v>
      </c>
      <c r="I538" t="s">
        <v>6592</v>
      </c>
      <c r="J538" t="s">
        <v>6563</v>
      </c>
      <c r="K538" t="s">
        <v>74</v>
      </c>
      <c r="L538" t="s">
        <v>74</v>
      </c>
      <c r="M538" t="s">
        <v>77</v>
      </c>
      <c r="N538" t="s">
        <v>379</v>
      </c>
      <c r="O538" t="s">
        <v>6564</v>
      </c>
      <c r="P538" t="s">
        <v>6565</v>
      </c>
      <c r="Q538" t="s">
        <v>6566</v>
      </c>
      <c r="R538" t="s">
        <v>74</v>
      </c>
      <c r="S538" t="s">
        <v>74</v>
      </c>
      <c r="T538" t="s">
        <v>6593</v>
      </c>
      <c r="U538" t="s">
        <v>6594</v>
      </c>
      <c r="V538" t="s">
        <v>6595</v>
      </c>
      <c r="W538" t="s">
        <v>6596</v>
      </c>
      <c r="X538" t="s">
        <v>6597</v>
      </c>
      <c r="Y538" t="s">
        <v>6598</v>
      </c>
      <c r="Z538" t="s">
        <v>6588</v>
      </c>
      <c r="AA538" t="s">
        <v>74</v>
      </c>
      <c r="AB538" t="s">
        <v>74</v>
      </c>
      <c r="AC538" t="s">
        <v>74</v>
      </c>
      <c r="AD538" t="s">
        <v>74</v>
      </c>
      <c r="AE538" t="s">
        <v>74</v>
      </c>
      <c r="AF538" t="s">
        <v>74</v>
      </c>
      <c r="AG538">
        <v>50</v>
      </c>
      <c r="AH538">
        <v>32</v>
      </c>
      <c r="AI538">
        <v>38</v>
      </c>
      <c r="AJ538">
        <v>1</v>
      </c>
      <c r="AK538">
        <v>12</v>
      </c>
      <c r="AL538" t="s">
        <v>1029</v>
      </c>
      <c r="AM538" t="s">
        <v>1030</v>
      </c>
      <c r="AN538" t="s">
        <v>1031</v>
      </c>
      <c r="AO538" t="s">
        <v>6574</v>
      </c>
      <c r="AP538" t="s">
        <v>74</v>
      </c>
      <c r="AQ538" t="s">
        <v>74</v>
      </c>
      <c r="AR538" t="s">
        <v>6575</v>
      </c>
      <c r="AS538" t="s">
        <v>6576</v>
      </c>
      <c r="AT538" t="s">
        <v>2502</v>
      </c>
      <c r="AU538">
        <v>1998</v>
      </c>
      <c r="AV538">
        <v>115</v>
      </c>
      <c r="AW538" t="s">
        <v>4183</v>
      </c>
      <c r="AX538" t="s">
        <v>74</v>
      </c>
      <c r="AY538" t="s">
        <v>74</v>
      </c>
      <c r="AZ538" t="s">
        <v>74</v>
      </c>
      <c r="BA538" t="s">
        <v>74</v>
      </c>
      <c r="BB538">
        <v>111</v>
      </c>
      <c r="BC538">
        <v>132</v>
      </c>
      <c r="BD538" t="s">
        <v>74</v>
      </c>
      <c r="BE538" t="s">
        <v>6599</v>
      </c>
      <c r="BF538" t="str">
        <f>HYPERLINK("http://dx.doi.org/10.1016/S0037-0738(97)00089-4","http://dx.doi.org/10.1016/S0037-0738(97)00089-4")</f>
        <v>http://dx.doi.org/10.1016/S0037-0738(97)00089-4</v>
      </c>
      <c r="BG538" t="s">
        <v>74</v>
      </c>
      <c r="BH538" t="s">
        <v>74</v>
      </c>
      <c r="BI538">
        <v>22</v>
      </c>
      <c r="BJ538" t="s">
        <v>471</v>
      </c>
      <c r="BK538" t="s">
        <v>397</v>
      </c>
      <c r="BL538" t="s">
        <v>471</v>
      </c>
      <c r="BM538" t="s">
        <v>6578</v>
      </c>
      <c r="BN538" t="s">
        <v>74</v>
      </c>
      <c r="BO538" t="s">
        <v>74</v>
      </c>
      <c r="BP538" t="s">
        <v>74</v>
      </c>
      <c r="BQ538" t="s">
        <v>74</v>
      </c>
      <c r="BR538" t="s">
        <v>101</v>
      </c>
      <c r="BS538" t="s">
        <v>6600</v>
      </c>
      <c r="BT538" t="str">
        <f>HYPERLINK("https%3A%2F%2Fwww.webofscience.com%2Fwos%2Fwoscc%2Ffull-record%2FWOS:000072058700006","View Full Record in Web of Science")</f>
        <v>View Full Record in Web of Science</v>
      </c>
    </row>
    <row r="539" spans="1:72" x14ac:dyDescent="0.15">
      <c r="A539" t="s">
        <v>72</v>
      </c>
      <c r="B539" t="s">
        <v>6601</v>
      </c>
      <c r="C539" t="s">
        <v>74</v>
      </c>
      <c r="D539" t="s">
        <v>74</v>
      </c>
      <c r="E539" t="s">
        <v>74</v>
      </c>
      <c r="F539" t="s">
        <v>6601</v>
      </c>
      <c r="G539" t="s">
        <v>74</v>
      </c>
      <c r="H539" t="s">
        <v>74</v>
      </c>
      <c r="I539" t="s">
        <v>6602</v>
      </c>
      <c r="J539" t="s">
        <v>6563</v>
      </c>
      <c r="K539" t="s">
        <v>74</v>
      </c>
      <c r="L539" t="s">
        <v>74</v>
      </c>
      <c r="M539" t="s">
        <v>77</v>
      </c>
      <c r="N539" t="s">
        <v>379</v>
      </c>
      <c r="O539" t="s">
        <v>6564</v>
      </c>
      <c r="P539" t="s">
        <v>6565</v>
      </c>
      <c r="Q539" t="s">
        <v>6566</v>
      </c>
      <c r="R539" t="s">
        <v>74</v>
      </c>
      <c r="S539" t="s">
        <v>74</v>
      </c>
      <c r="T539" t="s">
        <v>6603</v>
      </c>
      <c r="U539" t="s">
        <v>6604</v>
      </c>
      <c r="V539" t="s">
        <v>6605</v>
      </c>
      <c r="W539" t="s">
        <v>6606</v>
      </c>
      <c r="X539" t="s">
        <v>6607</v>
      </c>
      <c r="Y539" t="s">
        <v>6608</v>
      </c>
      <c r="Z539" t="s">
        <v>74</v>
      </c>
      <c r="AA539" t="s">
        <v>74</v>
      </c>
      <c r="AB539" t="s">
        <v>74</v>
      </c>
      <c r="AC539" t="s">
        <v>74</v>
      </c>
      <c r="AD539" t="s">
        <v>74</v>
      </c>
      <c r="AE539" t="s">
        <v>74</v>
      </c>
      <c r="AF539" t="s">
        <v>74</v>
      </c>
      <c r="AG539">
        <v>77</v>
      </c>
      <c r="AH539">
        <v>34</v>
      </c>
      <c r="AI539">
        <v>43</v>
      </c>
      <c r="AJ539">
        <v>0</v>
      </c>
      <c r="AK539">
        <v>19</v>
      </c>
      <c r="AL539" t="s">
        <v>1029</v>
      </c>
      <c r="AM539" t="s">
        <v>1030</v>
      </c>
      <c r="AN539" t="s">
        <v>1031</v>
      </c>
      <c r="AO539" t="s">
        <v>6574</v>
      </c>
      <c r="AP539" t="s">
        <v>74</v>
      </c>
      <c r="AQ539" t="s">
        <v>74</v>
      </c>
      <c r="AR539" t="s">
        <v>6575</v>
      </c>
      <c r="AS539" t="s">
        <v>6576</v>
      </c>
      <c r="AT539" t="s">
        <v>2502</v>
      </c>
      <c r="AU539">
        <v>1998</v>
      </c>
      <c r="AV539">
        <v>115</v>
      </c>
      <c r="AW539" t="s">
        <v>4183</v>
      </c>
      <c r="AX539" t="s">
        <v>74</v>
      </c>
      <c r="AY539" t="s">
        <v>74</v>
      </c>
      <c r="AZ539" t="s">
        <v>74</v>
      </c>
      <c r="BA539" t="s">
        <v>74</v>
      </c>
      <c r="BB539">
        <v>185</v>
      </c>
      <c r="BC539">
        <v>214</v>
      </c>
      <c r="BD539" t="s">
        <v>74</v>
      </c>
      <c r="BE539" t="s">
        <v>6609</v>
      </c>
      <c r="BF539" t="str">
        <f>HYPERLINK("http://dx.doi.org/10.1016/S0037-0738(97)00093-6","http://dx.doi.org/10.1016/S0037-0738(97)00093-6")</f>
        <v>http://dx.doi.org/10.1016/S0037-0738(97)00093-6</v>
      </c>
      <c r="BG539" t="s">
        <v>74</v>
      </c>
      <c r="BH539" t="s">
        <v>74</v>
      </c>
      <c r="BI539">
        <v>30</v>
      </c>
      <c r="BJ539" t="s">
        <v>471</v>
      </c>
      <c r="BK539" t="s">
        <v>397</v>
      </c>
      <c r="BL539" t="s">
        <v>471</v>
      </c>
      <c r="BM539" t="s">
        <v>6578</v>
      </c>
      <c r="BN539" t="s">
        <v>74</v>
      </c>
      <c r="BO539" t="s">
        <v>74</v>
      </c>
      <c r="BP539" t="s">
        <v>74</v>
      </c>
      <c r="BQ539" t="s">
        <v>74</v>
      </c>
      <c r="BR539" t="s">
        <v>101</v>
      </c>
      <c r="BS539" t="s">
        <v>6610</v>
      </c>
      <c r="BT539" t="str">
        <f>HYPERLINK("https%3A%2F%2Fwww.webofscience.com%2Fwos%2Fwoscc%2Ffull-record%2FWOS:000072058700010","View Full Record in Web of Science")</f>
        <v>View Full Record in Web of Science</v>
      </c>
    </row>
    <row r="540" spans="1:72" x14ac:dyDescent="0.15">
      <c r="A540" t="s">
        <v>2175</v>
      </c>
      <c r="B540" t="s">
        <v>6611</v>
      </c>
      <c r="C540" t="s">
        <v>74</v>
      </c>
      <c r="D540" t="s">
        <v>6612</v>
      </c>
      <c r="E540" t="s">
        <v>74</v>
      </c>
      <c r="F540" t="s">
        <v>6611</v>
      </c>
      <c r="G540" t="s">
        <v>74</v>
      </c>
      <c r="H540" t="s">
        <v>74</v>
      </c>
      <c r="I540" t="s">
        <v>6613</v>
      </c>
      <c r="J540" t="s">
        <v>6614</v>
      </c>
      <c r="K540" t="s">
        <v>2562</v>
      </c>
      <c r="L540" t="s">
        <v>74</v>
      </c>
      <c r="M540" t="s">
        <v>77</v>
      </c>
      <c r="N540" t="s">
        <v>2180</v>
      </c>
      <c r="O540" t="s">
        <v>6615</v>
      </c>
      <c r="P540" t="s">
        <v>6616</v>
      </c>
      <c r="Q540" t="s">
        <v>6617</v>
      </c>
      <c r="R540" t="s">
        <v>74</v>
      </c>
      <c r="S540" t="s">
        <v>74</v>
      </c>
      <c r="T540" t="s">
        <v>6618</v>
      </c>
      <c r="U540" t="s">
        <v>6619</v>
      </c>
      <c r="V540" t="s">
        <v>6620</v>
      </c>
      <c r="W540" t="s">
        <v>6621</v>
      </c>
      <c r="X540" t="s">
        <v>1969</v>
      </c>
      <c r="Y540" t="s">
        <v>6622</v>
      </c>
      <c r="Z540" t="s">
        <v>74</v>
      </c>
      <c r="AA540" t="s">
        <v>6623</v>
      </c>
      <c r="AB540" t="s">
        <v>6624</v>
      </c>
      <c r="AC540" t="s">
        <v>74</v>
      </c>
      <c r="AD540" t="s">
        <v>74</v>
      </c>
      <c r="AE540" t="s">
        <v>74</v>
      </c>
      <c r="AF540" t="s">
        <v>74</v>
      </c>
      <c r="AG540">
        <v>2</v>
      </c>
      <c r="AH540">
        <v>0</v>
      </c>
      <c r="AI540">
        <v>1</v>
      </c>
      <c r="AJ540">
        <v>0</v>
      </c>
      <c r="AK540">
        <v>0</v>
      </c>
      <c r="AL540" t="s">
        <v>2573</v>
      </c>
      <c r="AM540" t="s">
        <v>2574</v>
      </c>
      <c r="AN540" t="s">
        <v>2575</v>
      </c>
      <c r="AO540" t="s">
        <v>2576</v>
      </c>
      <c r="AP540" t="s">
        <v>74</v>
      </c>
      <c r="AQ540" t="s">
        <v>6625</v>
      </c>
      <c r="AR540" t="s">
        <v>2578</v>
      </c>
      <c r="AS540" t="s">
        <v>74</v>
      </c>
      <c r="AT540" t="s">
        <v>74</v>
      </c>
      <c r="AU540">
        <v>1998</v>
      </c>
      <c r="AV540">
        <v>3498</v>
      </c>
      <c r="AW540" t="s">
        <v>74</v>
      </c>
      <c r="AX540" t="s">
        <v>74</v>
      </c>
      <c r="AY540" t="s">
        <v>74</v>
      </c>
      <c r="AZ540" t="s">
        <v>74</v>
      </c>
      <c r="BA540" t="s">
        <v>74</v>
      </c>
      <c r="BB540">
        <v>458</v>
      </c>
      <c r="BC540">
        <v>464</v>
      </c>
      <c r="BD540" t="s">
        <v>74</v>
      </c>
      <c r="BE540" t="s">
        <v>6626</v>
      </c>
      <c r="BF540" t="str">
        <f>HYPERLINK("http://dx.doi.org/10.1117/12.333659","http://dx.doi.org/10.1117/12.333659")</f>
        <v>http://dx.doi.org/10.1117/12.333659</v>
      </c>
      <c r="BG540" t="s">
        <v>74</v>
      </c>
      <c r="BH540" t="s">
        <v>74</v>
      </c>
      <c r="BI540">
        <v>7</v>
      </c>
      <c r="BJ540" t="s">
        <v>6627</v>
      </c>
      <c r="BK540" t="s">
        <v>2189</v>
      </c>
      <c r="BL540" t="s">
        <v>6628</v>
      </c>
      <c r="BM540" t="s">
        <v>6629</v>
      </c>
      <c r="BN540" t="s">
        <v>74</v>
      </c>
      <c r="BO540" t="s">
        <v>74</v>
      </c>
      <c r="BP540" t="s">
        <v>74</v>
      </c>
      <c r="BQ540" t="s">
        <v>74</v>
      </c>
      <c r="BR540" t="s">
        <v>101</v>
      </c>
      <c r="BS540" t="s">
        <v>6630</v>
      </c>
      <c r="BT540" t="str">
        <f>HYPERLINK("https%3A%2F%2Fwww.webofscience.com%2Fwos%2Fwoscc%2Ffull-record%2FWOS:000078533900047","View Full Record in Web of Science")</f>
        <v>View Full Record in Web of Science</v>
      </c>
    </row>
    <row r="541" spans="1:72" x14ac:dyDescent="0.15">
      <c r="A541" t="s">
        <v>72</v>
      </c>
      <c r="B541" t="s">
        <v>6631</v>
      </c>
      <c r="C541" t="s">
        <v>74</v>
      </c>
      <c r="D541" t="s">
        <v>74</v>
      </c>
      <c r="E541" t="s">
        <v>74</v>
      </c>
      <c r="F541" t="s">
        <v>6631</v>
      </c>
      <c r="G541" t="s">
        <v>74</v>
      </c>
      <c r="H541" t="s">
        <v>74</v>
      </c>
      <c r="I541" t="s">
        <v>6632</v>
      </c>
      <c r="J541" t="s">
        <v>6633</v>
      </c>
      <c r="K541" t="s">
        <v>74</v>
      </c>
      <c r="L541" t="s">
        <v>74</v>
      </c>
      <c r="M541" t="s">
        <v>77</v>
      </c>
      <c r="N541" t="s">
        <v>78</v>
      </c>
      <c r="O541" t="s">
        <v>74</v>
      </c>
      <c r="P541" t="s">
        <v>74</v>
      </c>
      <c r="Q541" t="s">
        <v>74</v>
      </c>
      <c r="R541" t="s">
        <v>74</v>
      </c>
      <c r="S541" t="s">
        <v>74</v>
      </c>
      <c r="T541" t="s">
        <v>74</v>
      </c>
      <c r="U541" t="s">
        <v>74</v>
      </c>
      <c r="V541" t="s">
        <v>6634</v>
      </c>
      <c r="W541" t="s">
        <v>6635</v>
      </c>
      <c r="X541" t="s">
        <v>6636</v>
      </c>
      <c r="Y541" t="s">
        <v>6637</v>
      </c>
      <c r="Z541" t="s">
        <v>74</v>
      </c>
      <c r="AA541" t="s">
        <v>74</v>
      </c>
      <c r="AB541" t="s">
        <v>74</v>
      </c>
      <c r="AC541" t="s">
        <v>74</v>
      </c>
      <c r="AD541" t="s">
        <v>74</v>
      </c>
      <c r="AE541" t="s">
        <v>74</v>
      </c>
      <c r="AF541" t="s">
        <v>74</v>
      </c>
      <c r="AG541">
        <v>17</v>
      </c>
      <c r="AH541">
        <v>7</v>
      </c>
      <c r="AI541">
        <v>8</v>
      </c>
      <c r="AJ541">
        <v>0</v>
      </c>
      <c r="AK541">
        <v>3</v>
      </c>
      <c r="AL541" t="s">
        <v>6638</v>
      </c>
      <c r="AM541" t="s">
        <v>6639</v>
      </c>
      <c r="AN541" t="s">
        <v>6640</v>
      </c>
      <c r="AO541" t="s">
        <v>6641</v>
      </c>
      <c r="AP541" t="s">
        <v>74</v>
      </c>
      <c r="AQ541" t="s">
        <v>74</v>
      </c>
      <c r="AR541" t="s">
        <v>6642</v>
      </c>
      <c r="AS541" t="s">
        <v>6643</v>
      </c>
      <c r="AT541" t="s">
        <v>74</v>
      </c>
      <c r="AU541">
        <v>1998</v>
      </c>
      <c r="AV541">
        <v>20</v>
      </c>
      <c r="AW541" t="s">
        <v>74</v>
      </c>
      <c r="AX541" t="s">
        <v>74</v>
      </c>
      <c r="AY541" t="s">
        <v>74</v>
      </c>
      <c r="AZ541" t="s">
        <v>74</v>
      </c>
      <c r="BA541" t="s">
        <v>74</v>
      </c>
      <c r="BB541">
        <v>73</v>
      </c>
      <c r="BC541">
        <v>79</v>
      </c>
      <c r="BD541" t="s">
        <v>74</v>
      </c>
      <c r="BE541" t="s">
        <v>74</v>
      </c>
      <c r="BF541" t="s">
        <v>74</v>
      </c>
      <c r="BG541" t="s">
        <v>74</v>
      </c>
      <c r="BH541" t="s">
        <v>74</v>
      </c>
      <c r="BI541">
        <v>7</v>
      </c>
      <c r="BJ541" t="s">
        <v>1802</v>
      </c>
      <c r="BK541" t="s">
        <v>98</v>
      </c>
      <c r="BL541" t="s">
        <v>1802</v>
      </c>
      <c r="BM541" t="s">
        <v>6644</v>
      </c>
      <c r="BN541" t="s">
        <v>74</v>
      </c>
      <c r="BO541" t="s">
        <v>74</v>
      </c>
      <c r="BP541" t="s">
        <v>74</v>
      </c>
      <c r="BQ541" t="s">
        <v>74</v>
      </c>
      <c r="BR541" t="s">
        <v>101</v>
      </c>
      <c r="BS541" t="s">
        <v>6645</v>
      </c>
      <c r="BT541" t="str">
        <f>HYPERLINK("https%3A%2F%2Fwww.webofscience.com%2Fwos%2Fwoscc%2Ffull-record%2FWOS:000165531100010","View Full Record in Web of Science")</f>
        <v>View Full Record in Web of Science</v>
      </c>
    </row>
    <row r="542" spans="1:72" x14ac:dyDescent="0.15">
      <c r="A542" t="s">
        <v>72</v>
      </c>
      <c r="B542" t="s">
        <v>6646</v>
      </c>
      <c r="C542" t="s">
        <v>74</v>
      </c>
      <c r="D542" t="s">
        <v>74</v>
      </c>
      <c r="E542" t="s">
        <v>74</v>
      </c>
      <c r="F542" t="s">
        <v>6646</v>
      </c>
      <c r="G542" t="s">
        <v>74</v>
      </c>
      <c r="H542" t="s">
        <v>74</v>
      </c>
      <c r="I542" t="s">
        <v>6647</v>
      </c>
      <c r="J542" t="s">
        <v>6633</v>
      </c>
      <c r="K542" t="s">
        <v>74</v>
      </c>
      <c r="L542" t="s">
        <v>74</v>
      </c>
      <c r="M542" t="s">
        <v>77</v>
      </c>
      <c r="N542" t="s">
        <v>78</v>
      </c>
      <c r="O542" t="s">
        <v>74</v>
      </c>
      <c r="P542" t="s">
        <v>74</v>
      </c>
      <c r="Q542" t="s">
        <v>74</v>
      </c>
      <c r="R542" t="s">
        <v>74</v>
      </c>
      <c r="S542" t="s">
        <v>74</v>
      </c>
      <c r="T542" t="s">
        <v>74</v>
      </c>
      <c r="U542" t="s">
        <v>74</v>
      </c>
      <c r="V542" t="s">
        <v>6648</v>
      </c>
      <c r="W542" t="s">
        <v>6649</v>
      </c>
      <c r="X542" t="s">
        <v>74</v>
      </c>
      <c r="Y542" t="s">
        <v>6650</v>
      </c>
      <c r="Z542" t="s">
        <v>6651</v>
      </c>
      <c r="AA542" t="s">
        <v>74</v>
      </c>
      <c r="AB542" t="s">
        <v>74</v>
      </c>
      <c r="AC542" t="s">
        <v>74</v>
      </c>
      <c r="AD542" t="s">
        <v>74</v>
      </c>
      <c r="AE542" t="s">
        <v>74</v>
      </c>
      <c r="AF542" t="s">
        <v>74</v>
      </c>
      <c r="AG542">
        <v>24</v>
      </c>
      <c r="AH542">
        <v>24</v>
      </c>
      <c r="AI542">
        <v>24</v>
      </c>
      <c r="AJ542">
        <v>0</v>
      </c>
      <c r="AK542">
        <v>40</v>
      </c>
      <c r="AL542" t="s">
        <v>6638</v>
      </c>
      <c r="AM542" t="s">
        <v>6639</v>
      </c>
      <c r="AN542" t="s">
        <v>6640</v>
      </c>
      <c r="AO542" t="s">
        <v>6641</v>
      </c>
      <c r="AP542" t="s">
        <v>74</v>
      </c>
      <c r="AQ542" t="s">
        <v>74</v>
      </c>
      <c r="AR542" t="s">
        <v>6642</v>
      </c>
      <c r="AS542" t="s">
        <v>6643</v>
      </c>
      <c r="AT542" t="s">
        <v>74</v>
      </c>
      <c r="AU542">
        <v>1998</v>
      </c>
      <c r="AV542">
        <v>20</v>
      </c>
      <c r="AW542" t="s">
        <v>74</v>
      </c>
      <c r="AX542" t="s">
        <v>74</v>
      </c>
      <c r="AY542" t="s">
        <v>74</v>
      </c>
      <c r="AZ542" t="s">
        <v>74</v>
      </c>
      <c r="BA542" t="s">
        <v>74</v>
      </c>
      <c r="BB542">
        <v>129</v>
      </c>
      <c r="BC542">
        <v>133</v>
      </c>
      <c r="BD542" t="s">
        <v>74</v>
      </c>
      <c r="BE542" t="s">
        <v>74</v>
      </c>
      <c r="BF542" t="s">
        <v>74</v>
      </c>
      <c r="BG542" t="s">
        <v>74</v>
      </c>
      <c r="BH542" t="s">
        <v>74</v>
      </c>
      <c r="BI542">
        <v>5</v>
      </c>
      <c r="BJ542" t="s">
        <v>1802</v>
      </c>
      <c r="BK542" t="s">
        <v>98</v>
      </c>
      <c r="BL542" t="s">
        <v>1802</v>
      </c>
      <c r="BM542" t="s">
        <v>6644</v>
      </c>
      <c r="BN542" t="s">
        <v>74</v>
      </c>
      <c r="BO542" t="s">
        <v>74</v>
      </c>
      <c r="BP542" t="s">
        <v>74</v>
      </c>
      <c r="BQ542" t="s">
        <v>74</v>
      </c>
      <c r="BR542" t="s">
        <v>101</v>
      </c>
      <c r="BS542" t="s">
        <v>6652</v>
      </c>
      <c r="BT542" t="str">
        <f>HYPERLINK("https%3A%2F%2Fwww.webofscience.com%2Fwos%2Fwoscc%2Ffull-record%2FWOS:000165531100016","View Full Record in Web of Science")</f>
        <v>View Full Record in Web of Science</v>
      </c>
    </row>
    <row r="543" spans="1:72" x14ac:dyDescent="0.15">
      <c r="A543" t="s">
        <v>72</v>
      </c>
      <c r="B543" t="s">
        <v>6653</v>
      </c>
      <c r="C543" t="s">
        <v>74</v>
      </c>
      <c r="D543" t="s">
        <v>74</v>
      </c>
      <c r="E543" t="s">
        <v>74</v>
      </c>
      <c r="F543" t="s">
        <v>6653</v>
      </c>
      <c r="G543" t="s">
        <v>74</v>
      </c>
      <c r="H543" t="s">
        <v>74</v>
      </c>
      <c r="I543" t="s">
        <v>6654</v>
      </c>
      <c r="J543" t="s">
        <v>6633</v>
      </c>
      <c r="K543" t="s">
        <v>74</v>
      </c>
      <c r="L543" t="s">
        <v>74</v>
      </c>
      <c r="M543" t="s">
        <v>77</v>
      </c>
      <c r="N543" t="s">
        <v>78</v>
      </c>
      <c r="O543" t="s">
        <v>74</v>
      </c>
      <c r="P543" t="s">
        <v>74</v>
      </c>
      <c r="Q543" t="s">
        <v>74</v>
      </c>
      <c r="R543" t="s">
        <v>74</v>
      </c>
      <c r="S543" t="s">
        <v>74</v>
      </c>
      <c r="T543" t="s">
        <v>74</v>
      </c>
      <c r="U543" t="s">
        <v>74</v>
      </c>
      <c r="V543" t="s">
        <v>6655</v>
      </c>
      <c r="W543" t="s">
        <v>758</v>
      </c>
      <c r="X543" t="s">
        <v>322</v>
      </c>
      <c r="Y543" t="s">
        <v>6656</v>
      </c>
      <c r="Z543" t="s">
        <v>74</v>
      </c>
      <c r="AA543" t="s">
        <v>74</v>
      </c>
      <c r="AB543" t="s">
        <v>6657</v>
      </c>
      <c r="AC543" t="s">
        <v>74</v>
      </c>
      <c r="AD543" t="s">
        <v>74</v>
      </c>
      <c r="AE543" t="s">
        <v>74</v>
      </c>
      <c r="AF543" t="s">
        <v>74</v>
      </c>
      <c r="AG543">
        <v>28</v>
      </c>
      <c r="AH543">
        <v>10</v>
      </c>
      <c r="AI543">
        <v>13</v>
      </c>
      <c r="AJ543">
        <v>0</v>
      </c>
      <c r="AK543">
        <v>2</v>
      </c>
      <c r="AL543" t="s">
        <v>6638</v>
      </c>
      <c r="AM543" t="s">
        <v>6639</v>
      </c>
      <c r="AN543" t="s">
        <v>6640</v>
      </c>
      <c r="AO543" t="s">
        <v>6641</v>
      </c>
      <c r="AP543" t="s">
        <v>74</v>
      </c>
      <c r="AQ543" t="s">
        <v>74</v>
      </c>
      <c r="AR543" t="s">
        <v>6642</v>
      </c>
      <c r="AS543" t="s">
        <v>6643</v>
      </c>
      <c r="AT543" t="s">
        <v>74</v>
      </c>
      <c r="AU543">
        <v>1998</v>
      </c>
      <c r="AV543">
        <v>20</v>
      </c>
      <c r="AW543" t="s">
        <v>74</v>
      </c>
      <c r="AX543" t="s">
        <v>74</v>
      </c>
      <c r="AY543" t="s">
        <v>74</v>
      </c>
      <c r="AZ543" t="s">
        <v>74</v>
      </c>
      <c r="BA543" t="s">
        <v>74</v>
      </c>
      <c r="BB543">
        <v>311</v>
      </c>
      <c r="BC543">
        <v>322</v>
      </c>
      <c r="BD543" t="s">
        <v>74</v>
      </c>
      <c r="BE543" t="s">
        <v>74</v>
      </c>
      <c r="BF543" t="s">
        <v>74</v>
      </c>
      <c r="BG543" t="s">
        <v>74</v>
      </c>
      <c r="BH543" t="s">
        <v>74</v>
      </c>
      <c r="BI543">
        <v>12</v>
      </c>
      <c r="BJ543" t="s">
        <v>1802</v>
      </c>
      <c r="BK543" t="s">
        <v>98</v>
      </c>
      <c r="BL543" t="s">
        <v>1802</v>
      </c>
      <c r="BM543" t="s">
        <v>6644</v>
      </c>
      <c r="BN543" t="s">
        <v>74</v>
      </c>
      <c r="BO543" t="s">
        <v>74</v>
      </c>
      <c r="BP543" t="s">
        <v>74</v>
      </c>
      <c r="BQ543" t="s">
        <v>74</v>
      </c>
      <c r="BR543" t="s">
        <v>101</v>
      </c>
      <c r="BS543" t="s">
        <v>6658</v>
      </c>
      <c r="BT543" t="str">
        <f>HYPERLINK("https%3A%2F%2Fwww.webofscience.com%2Fwos%2Fwoscc%2Ffull-record%2FWOS:000165531100033","View Full Record in Web of Science")</f>
        <v>View Full Record in Web of Science</v>
      </c>
    </row>
    <row r="544" spans="1:72" x14ac:dyDescent="0.15">
      <c r="A544" t="s">
        <v>72</v>
      </c>
      <c r="B544" t="s">
        <v>6659</v>
      </c>
      <c r="C544" t="s">
        <v>74</v>
      </c>
      <c r="D544" t="s">
        <v>74</v>
      </c>
      <c r="E544" t="s">
        <v>74</v>
      </c>
      <c r="F544" t="s">
        <v>6659</v>
      </c>
      <c r="G544" t="s">
        <v>74</v>
      </c>
      <c r="H544" t="s">
        <v>74</v>
      </c>
      <c r="I544" t="s">
        <v>6660</v>
      </c>
      <c r="J544" t="s">
        <v>6633</v>
      </c>
      <c r="K544" t="s">
        <v>74</v>
      </c>
      <c r="L544" t="s">
        <v>74</v>
      </c>
      <c r="M544" t="s">
        <v>77</v>
      </c>
      <c r="N544" t="s">
        <v>78</v>
      </c>
      <c r="O544" t="s">
        <v>74</v>
      </c>
      <c r="P544" t="s">
        <v>74</v>
      </c>
      <c r="Q544" t="s">
        <v>74</v>
      </c>
      <c r="R544" t="s">
        <v>74</v>
      </c>
      <c r="S544" t="s">
        <v>74</v>
      </c>
      <c r="T544" t="s">
        <v>74</v>
      </c>
      <c r="U544" t="s">
        <v>74</v>
      </c>
      <c r="V544" t="s">
        <v>6661</v>
      </c>
      <c r="W544" t="s">
        <v>6662</v>
      </c>
      <c r="X544" t="s">
        <v>6663</v>
      </c>
      <c r="Y544" t="s">
        <v>6664</v>
      </c>
      <c r="Z544" t="s">
        <v>74</v>
      </c>
      <c r="AA544" t="s">
        <v>6665</v>
      </c>
      <c r="AB544" t="s">
        <v>6666</v>
      </c>
      <c r="AC544" t="s">
        <v>74</v>
      </c>
      <c r="AD544" t="s">
        <v>74</v>
      </c>
      <c r="AE544" t="s">
        <v>74</v>
      </c>
      <c r="AF544" t="s">
        <v>74</v>
      </c>
      <c r="AG544">
        <v>39</v>
      </c>
      <c r="AH544">
        <v>42</v>
      </c>
      <c r="AI544">
        <v>45</v>
      </c>
      <c r="AJ544">
        <v>0</v>
      </c>
      <c r="AK544">
        <v>3</v>
      </c>
      <c r="AL544" t="s">
        <v>6638</v>
      </c>
      <c r="AM544" t="s">
        <v>6639</v>
      </c>
      <c r="AN544" t="s">
        <v>6640</v>
      </c>
      <c r="AO544" t="s">
        <v>6641</v>
      </c>
      <c r="AP544" t="s">
        <v>74</v>
      </c>
      <c r="AQ544" t="s">
        <v>74</v>
      </c>
      <c r="AR544" t="s">
        <v>6642</v>
      </c>
      <c r="AS544" t="s">
        <v>6643</v>
      </c>
      <c r="AT544" t="s">
        <v>74</v>
      </c>
      <c r="AU544">
        <v>1998</v>
      </c>
      <c r="AV544">
        <v>20</v>
      </c>
      <c r="AW544" t="s">
        <v>74</v>
      </c>
      <c r="AX544" t="s">
        <v>74</v>
      </c>
      <c r="AY544" t="s">
        <v>74</v>
      </c>
      <c r="AZ544" t="s">
        <v>74</v>
      </c>
      <c r="BA544" t="s">
        <v>74</v>
      </c>
      <c r="BB544">
        <v>323</v>
      </c>
      <c r="BC544">
        <v>336</v>
      </c>
      <c r="BD544" t="s">
        <v>74</v>
      </c>
      <c r="BE544" t="s">
        <v>74</v>
      </c>
      <c r="BF544" t="s">
        <v>74</v>
      </c>
      <c r="BG544" t="s">
        <v>74</v>
      </c>
      <c r="BH544" t="s">
        <v>74</v>
      </c>
      <c r="BI544">
        <v>14</v>
      </c>
      <c r="BJ544" t="s">
        <v>1802</v>
      </c>
      <c r="BK544" t="s">
        <v>98</v>
      </c>
      <c r="BL544" t="s">
        <v>1802</v>
      </c>
      <c r="BM544" t="s">
        <v>6644</v>
      </c>
      <c r="BN544" t="s">
        <v>74</v>
      </c>
      <c r="BO544" t="s">
        <v>74</v>
      </c>
      <c r="BP544" t="s">
        <v>74</v>
      </c>
      <c r="BQ544" t="s">
        <v>74</v>
      </c>
      <c r="BR544" t="s">
        <v>101</v>
      </c>
      <c r="BS544" t="s">
        <v>6667</v>
      </c>
      <c r="BT544" t="str">
        <f>HYPERLINK("https%3A%2F%2Fwww.webofscience.com%2Fwos%2Fwoscc%2Ffull-record%2FWOS:000165531100034","View Full Record in Web of Science")</f>
        <v>View Full Record in Web of Science</v>
      </c>
    </row>
    <row r="545" spans="1:72" x14ac:dyDescent="0.15">
      <c r="A545" t="s">
        <v>72</v>
      </c>
      <c r="B545" t="s">
        <v>6668</v>
      </c>
      <c r="C545" t="s">
        <v>74</v>
      </c>
      <c r="D545" t="s">
        <v>74</v>
      </c>
      <c r="E545" t="s">
        <v>74</v>
      </c>
      <c r="F545" t="s">
        <v>6668</v>
      </c>
      <c r="G545" t="s">
        <v>74</v>
      </c>
      <c r="H545" t="s">
        <v>74</v>
      </c>
      <c r="I545" t="s">
        <v>6669</v>
      </c>
      <c r="J545" t="s">
        <v>6633</v>
      </c>
      <c r="K545" t="s">
        <v>74</v>
      </c>
      <c r="L545" t="s">
        <v>74</v>
      </c>
      <c r="M545" t="s">
        <v>77</v>
      </c>
      <c r="N545" t="s">
        <v>78</v>
      </c>
      <c r="O545" t="s">
        <v>74</v>
      </c>
      <c r="P545" t="s">
        <v>74</v>
      </c>
      <c r="Q545" t="s">
        <v>74</v>
      </c>
      <c r="R545" t="s">
        <v>74</v>
      </c>
      <c r="S545" t="s">
        <v>74</v>
      </c>
      <c r="T545" t="s">
        <v>74</v>
      </c>
      <c r="U545" t="s">
        <v>74</v>
      </c>
      <c r="V545" t="s">
        <v>6670</v>
      </c>
      <c r="W545" t="s">
        <v>6671</v>
      </c>
      <c r="X545" t="s">
        <v>6672</v>
      </c>
      <c r="Y545" t="s">
        <v>6673</v>
      </c>
      <c r="Z545" t="s">
        <v>74</v>
      </c>
      <c r="AA545" t="s">
        <v>6674</v>
      </c>
      <c r="AB545" t="s">
        <v>6675</v>
      </c>
      <c r="AC545" t="s">
        <v>74</v>
      </c>
      <c r="AD545" t="s">
        <v>74</v>
      </c>
      <c r="AE545" t="s">
        <v>74</v>
      </c>
      <c r="AF545" t="s">
        <v>74</v>
      </c>
      <c r="AG545">
        <v>16</v>
      </c>
      <c r="AH545">
        <v>20</v>
      </c>
      <c r="AI545">
        <v>20</v>
      </c>
      <c r="AJ545">
        <v>1</v>
      </c>
      <c r="AK545">
        <v>22</v>
      </c>
      <c r="AL545" t="s">
        <v>6638</v>
      </c>
      <c r="AM545" t="s">
        <v>6639</v>
      </c>
      <c r="AN545" t="s">
        <v>6640</v>
      </c>
      <c r="AO545" t="s">
        <v>6641</v>
      </c>
      <c r="AP545" t="s">
        <v>74</v>
      </c>
      <c r="AQ545" t="s">
        <v>74</v>
      </c>
      <c r="AR545" t="s">
        <v>6642</v>
      </c>
      <c r="AS545" t="s">
        <v>6643</v>
      </c>
      <c r="AT545" t="s">
        <v>74</v>
      </c>
      <c r="AU545">
        <v>1998</v>
      </c>
      <c r="AV545">
        <v>20</v>
      </c>
      <c r="AW545" t="s">
        <v>74</v>
      </c>
      <c r="AX545" t="s">
        <v>74</v>
      </c>
      <c r="AY545" t="s">
        <v>74</v>
      </c>
      <c r="AZ545" t="s">
        <v>74</v>
      </c>
      <c r="BA545" t="s">
        <v>74</v>
      </c>
      <c r="BB545">
        <v>421</v>
      </c>
      <c r="BC545">
        <v>428</v>
      </c>
      <c r="BD545" t="s">
        <v>74</v>
      </c>
      <c r="BE545" t="s">
        <v>74</v>
      </c>
      <c r="BF545" t="s">
        <v>74</v>
      </c>
      <c r="BG545" t="s">
        <v>74</v>
      </c>
      <c r="BH545" t="s">
        <v>74</v>
      </c>
      <c r="BI545">
        <v>8</v>
      </c>
      <c r="BJ545" t="s">
        <v>1802</v>
      </c>
      <c r="BK545" t="s">
        <v>98</v>
      </c>
      <c r="BL545" t="s">
        <v>1802</v>
      </c>
      <c r="BM545" t="s">
        <v>6644</v>
      </c>
      <c r="BN545" t="s">
        <v>74</v>
      </c>
      <c r="BO545" t="s">
        <v>74</v>
      </c>
      <c r="BP545" t="s">
        <v>74</v>
      </c>
      <c r="BQ545" t="s">
        <v>74</v>
      </c>
      <c r="BR545" t="s">
        <v>101</v>
      </c>
      <c r="BS545" t="s">
        <v>6676</v>
      </c>
      <c r="BT545" t="str">
        <f>HYPERLINK("https%3A%2F%2Fwww.webofscience.com%2Fwos%2Fwoscc%2Ffull-record%2FWOS:000165531100042","View Full Record in Web of Science")</f>
        <v>View Full Record in Web of Science</v>
      </c>
    </row>
    <row r="546" spans="1:72" x14ac:dyDescent="0.15">
      <c r="A546" t="s">
        <v>72</v>
      </c>
      <c r="B546" t="s">
        <v>6677</v>
      </c>
      <c r="C546" t="s">
        <v>74</v>
      </c>
      <c r="D546" t="s">
        <v>74</v>
      </c>
      <c r="E546" t="s">
        <v>74</v>
      </c>
      <c r="F546" t="s">
        <v>6677</v>
      </c>
      <c r="G546" t="s">
        <v>74</v>
      </c>
      <c r="H546" t="s">
        <v>74</v>
      </c>
      <c r="I546" t="s">
        <v>6678</v>
      </c>
      <c r="J546" t="s">
        <v>976</v>
      </c>
      <c r="K546" t="s">
        <v>74</v>
      </c>
      <c r="L546" t="s">
        <v>74</v>
      </c>
      <c r="M546" t="s">
        <v>77</v>
      </c>
      <c r="N546" t="s">
        <v>78</v>
      </c>
      <c r="O546" t="s">
        <v>74</v>
      </c>
      <c r="P546" t="s">
        <v>74</v>
      </c>
      <c r="Q546" t="s">
        <v>74</v>
      </c>
      <c r="R546" t="s">
        <v>74</v>
      </c>
      <c r="S546" t="s">
        <v>74</v>
      </c>
      <c r="T546" t="s">
        <v>74</v>
      </c>
      <c r="U546" t="s">
        <v>6679</v>
      </c>
      <c r="V546" t="s">
        <v>6680</v>
      </c>
      <c r="W546" t="s">
        <v>6681</v>
      </c>
      <c r="X546" t="s">
        <v>6682</v>
      </c>
      <c r="Y546" t="s">
        <v>6683</v>
      </c>
      <c r="Z546" t="s">
        <v>6684</v>
      </c>
      <c r="AA546" t="s">
        <v>6685</v>
      </c>
      <c r="AB546" t="s">
        <v>6686</v>
      </c>
      <c r="AC546" t="s">
        <v>74</v>
      </c>
      <c r="AD546" t="s">
        <v>74</v>
      </c>
      <c r="AE546" t="s">
        <v>74</v>
      </c>
      <c r="AF546" t="s">
        <v>74</v>
      </c>
      <c r="AG546">
        <v>40</v>
      </c>
      <c r="AH546">
        <v>6</v>
      </c>
      <c r="AI546">
        <v>6</v>
      </c>
      <c r="AJ546">
        <v>0</v>
      </c>
      <c r="AK546">
        <v>2</v>
      </c>
      <c r="AL546" t="s">
        <v>6687</v>
      </c>
      <c r="AM546" t="s">
        <v>6688</v>
      </c>
      <c r="AN546" t="s">
        <v>6689</v>
      </c>
      <c r="AO546" t="s">
        <v>986</v>
      </c>
      <c r="AP546" t="s">
        <v>74</v>
      </c>
      <c r="AQ546" t="s">
        <v>74</v>
      </c>
      <c r="AR546" t="s">
        <v>988</v>
      </c>
      <c r="AS546" t="s">
        <v>989</v>
      </c>
      <c r="AT546" t="s">
        <v>2502</v>
      </c>
      <c r="AU546">
        <v>1998</v>
      </c>
      <c r="AV546">
        <v>94</v>
      </c>
      <c r="AW546">
        <v>1</v>
      </c>
      <c r="AX546" t="s">
        <v>74</v>
      </c>
      <c r="AY546" t="s">
        <v>74</v>
      </c>
      <c r="AZ546" t="s">
        <v>74</v>
      </c>
      <c r="BA546" t="s">
        <v>74</v>
      </c>
      <c r="BB546">
        <v>24</v>
      </c>
      <c r="BC546">
        <v>32</v>
      </c>
      <c r="BD546" t="s">
        <v>74</v>
      </c>
      <c r="BE546" t="s">
        <v>74</v>
      </c>
      <c r="BF546" t="s">
        <v>74</v>
      </c>
      <c r="BG546" t="s">
        <v>74</v>
      </c>
      <c r="BH546" t="s">
        <v>74</v>
      </c>
      <c r="BI546">
        <v>9</v>
      </c>
      <c r="BJ546" t="s">
        <v>186</v>
      </c>
      <c r="BK546" t="s">
        <v>98</v>
      </c>
      <c r="BL546" t="s">
        <v>187</v>
      </c>
      <c r="BM546" t="s">
        <v>6690</v>
      </c>
      <c r="BN546" t="s">
        <v>74</v>
      </c>
      <c r="BO546" t="s">
        <v>74</v>
      </c>
      <c r="BP546" t="s">
        <v>74</v>
      </c>
      <c r="BQ546" t="s">
        <v>74</v>
      </c>
      <c r="BR546" t="s">
        <v>101</v>
      </c>
      <c r="BS546" t="s">
        <v>6691</v>
      </c>
      <c r="BT546" t="str">
        <f>HYPERLINK("https%3A%2F%2Fwww.webofscience.com%2Fwos%2Fwoscc%2Ffull-record%2FWOS:000073370100006","View Full Record in Web of Science")</f>
        <v>View Full Record in Web of Science</v>
      </c>
    </row>
    <row r="547" spans="1:72" x14ac:dyDescent="0.15">
      <c r="A547" t="s">
        <v>2175</v>
      </c>
      <c r="B547" t="s">
        <v>6692</v>
      </c>
      <c r="C547" t="s">
        <v>74</v>
      </c>
      <c r="D547" t="s">
        <v>6693</v>
      </c>
      <c r="E547" t="s">
        <v>74</v>
      </c>
      <c r="F547" t="s">
        <v>6692</v>
      </c>
      <c r="G547" t="s">
        <v>74</v>
      </c>
      <c r="H547" t="s">
        <v>74</v>
      </c>
      <c r="I547" t="s">
        <v>6694</v>
      </c>
      <c r="J547" t="s">
        <v>6695</v>
      </c>
      <c r="K547" t="s">
        <v>4371</v>
      </c>
      <c r="L547" t="s">
        <v>74</v>
      </c>
      <c r="M547" t="s">
        <v>77</v>
      </c>
      <c r="N547" t="s">
        <v>2180</v>
      </c>
      <c r="O547" t="s">
        <v>6696</v>
      </c>
      <c r="P547" t="s">
        <v>6697</v>
      </c>
      <c r="Q547" t="s">
        <v>6698</v>
      </c>
      <c r="R547" t="s">
        <v>74</v>
      </c>
      <c r="S547" t="s">
        <v>74</v>
      </c>
      <c r="T547" t="s">
        <v>74</v>
      </c>
      <c r="U547" t="s">
        <v>74</v>
      </c>
      <c r="V547" t="s">
        <v>6699</v>
      </c>
      <c r="W547" t="s">
        <v>6700</v>
      </c>
      <c r="X547" t="s">
        <v>6701</v>
      </c>
      <c r="Y547" t="s">
        <v>6702</v>
      </c>
      <c r="Z547" t="s">
        <v>74</v>
      </c>
      <c r="AA547" t="s">
        <v>74</v>
      </c>
      <c r="AB547" t="s">
        <v>74</v>
      </c>
      <c r="AC547" t="s">
        <v>74</v>
      </c>
      <c r="AD547" t="s">
        <v>74</v>
      </c>
      <c r="AE547" t="s">
        <v>74</v>
      </c>
      <c r="AF547" t="s">
        <v>74</v>
      </c>
      <c r="AG547">
        <v>0</v>
      </c>
      <c r="AH547">
        <v>0</v>
      </c>
      <c r="AI547">
        <v>0</v>
      </c>
      <c r="AJ547">
        <v>0</v>
      </c>
      <c r="AK547">
        <v>1</v>
      </c>
      <c r="AL547" t="s">
        <v>1632</v>
      </c>
      <c r="AM547" t="s">
        <v>4379</v>
      </c>
      <c r="AN547" t="s">
        <v>4380</v>
      </c>
      <c r="AO547" t="s">
        <v>4381</v>
      </c>
      <c r="AP547" t="s">
        <v>74</v>
      </c>
      <c r="AQ547" t="s">
        <v>6703</v>
      </c>
      <c r="AR547" t="s">
        <v>4383</v>
      </c>
      <c r="AS547" t="s">
        <v>74</v>
      </c>
      <c r="AT547" t="s">
        <v>74</v>
      </c>
      <c r="AU547">
        <v>1998</v>
      </c>
      <c r="AV547" t="s">
        <v>74</v>
      </c>
      <c r="AW547">
        <v>420</v>
      </c>
      <c r="AX547" t="s">
        <v>74</v>
      </c>
      <c r="AY547" t="s">
        <v>74</v>
      </c>
      <c r="AZ547" t="s">
        <v>74</v>
      </c>
      <c r="BA547" t="s">
        <v>74</v>
      </c>
      <c r="BB547">
        <v>835</v>
      </c>
      <c r="BC547">
        <v>839</v>
      </c>
      <c r="BD547" t="s">
        <v>74</v>
      </c>
      <c r="BE547" t="s">
        <v>74</v>
      </c>
      <c r="BF547" t="s">
        <v>74</v>
      </c>
      <c r="BG547" t="s">
        <v>74</v>
      </c>
      <c r="BH547" t="s">
        <v>74</v>
      </c>
      <c r="BI547">
        <v>5</v>
      </c>
      <c r="BJ547" t="s">
        <v>6704</v>
      </c>
      <c r="BK547" t="s">
        <v>2189</v>
      </c>
      <c r="BL547" t="s">
        <v>6705</v>
      </c>
      <c r="BM547" t="s">
        <v>6706</v>
      </c>
      <c r="BN547" t="s">
        <v>74</v>
      </c>
      <c r="BO547" t="s">
        <v>74</v>
      </c>
      <c r="BP547" t="s">
        <v>74</v>
      </c>
      <c r="BQ547" t="s">
        <v>74</v>
      </c>
      <c r="BR547" t="s">
        <v>101</v>
      </c>
      <c r="BS547" t="s">
        <v>6707</v>
      </c>
      <c r="BT547" t="str">
        <f>HYPERLINK("https%3A%2F%2Fwww.webofscience.com%2Fwos%2Fwoscc%2Ffull-record%2FWOS:000072374200138","View Full Record in Web of Science")</f>
        <v>View Full Record in Web of Science</v>
      </c>
    </row>
    <row r="548" spans="1:72" x14ac:dyDescent="0.15">
      <c r="A548" t="s">
        <v>2175</v>
      </c>
      <c r="B548" t="s">
        <v>6708</v>
      </c>
      <c r="C548" t="s">
        <v>74</v>
      </c>
      <c r="D548" t="s">
        <v>6709</v>
      </c>
      <c r="E548" t="s">
        <v>74</v>
      </c>
      <c r="F548" t="s">
        <v>6708</v>
      </c>
      <c r="G548" t="s">
        <v>74</v>
      </c>
      <c r="H548" t="s">
        <v>74</v>
      </c>
      <c r="I548" t="s">
        <v>6710</v>
      </c>
      <c r="J548" t="s">
        <v>6711</v>
      </c>
      <c r="K548" t="s">
        <v>6712</v>
      </c>
      <c r="L548" t="s">
        <v>74</v>
      </c>
      <c r="M548" t="s">
        <v>77</v>
      </c>
      <c r="N548" t="s">
        <v>2180</v>
      </c>
      <c r="O548" t="s">
        <v>6713</v>
      </c>
      <c r="P548" t="s">
        <v>6714</v>
      </c>
      <c r="Q548" t="s">
        <v>6715</v>
      </c>
      <c r="R548" t="s">
        <v>74</v>
      </c>
      <c r="S548" t="s">
        <v>74</v>
      </c>
      <c r="T548" t="s">
        <v>6716</v>
      </c>
      <c r="U548" t="s">
        <v>74</v>
      </c>
      <c r="V548" t="s">
        <v>6717</v>
      </c>
      <c r="W548" t="s">
        <v>6718</v>
      </c>
      <c r="X548" t="s">
        <v>82</v>
      </c>
      <c r="Y548" t="s">
        <v>6719</v>
      </c>
      <c r="Z548" t="s">
        <v>74</v>
      </c>
      <c r="AA548" t="s">
        <v>74</v>
      </c>
      <c r="AB548" t="s">
        <v>74</v>
      </c>
      <c r="AC548" t="s">
        <v>74</v>
      </c>
      <c r="AD548" t="s">
        <v>74</v>
      </c>
      <c r="AE548" t="s">
        <v>74</v>
      </c>
      <c r="AF548" t="s">
        <v>74</v>
      </c>
      <c r="AG548">
        <v>0</v>
      </c>
      <c r="AH548">
        <v>2</v>
      </c>
      <c r="AI548">
        <v>2</v>
      </c>
      <c r="AJ548">
        <v>1</v>
      </c>
      <c r="AK548">
        <v>6</v>
      </c>
      <c r="AL548" t="s">
        <v>6720</v>
      </c>
      <c r="AM548" t="s">
        <v>6721</v>
      </c>
      <c r="AN548" t="s">
        <v>6722</v>
      </c>
      <c r="AO548" t="s">
        <v>74</v>
      </c>
      <c r="AP548" t="s">
        <v>74</v>
      </c>
      <c r="AQ548" t="s">
        <v>6723</v>
      </c>
      <c r="AR548" t="s">
        <v>6724</v>
      </c>
      <c r="AS548" t="s">
        <v>74</v>
      </c>
      <c r="AT548" t="s">
        <v>74</v>
      </c>
      <c r="AU548">
        <v>1998</v>
      </c>
      <c r="AV548">
        <v>31</v>
      </c>
      <c r="AW548" t="s">
        <v>74</v>
      </c>
      <c r="AX548" t="s">
        <v>74</v>
      </c>
      <c r="AY548" t="s">
        <v>74</v>
      </c>
      <c r="AZ548" t="s">
        <v>74</v>
      </c>
      <c r="BA548" t="s">
        <v>74</v>
      </c>
      <c r="BB548">
        <v>193</v>
      </c>
      <c r="BC548">
        <v>208</v>
      </c>
      <c r="BD548" t="s">
        <v>74</v>
      </c>
      <c r="BE548" t="s">
        <v>74</v>
      </c>
      <c r="BF548" t="s">
        <v>74</v>
      </c>
      <c r="BG548" t="s">
        <v>74</v>
      </c>
      <c r="BH548" t="s">
        <v>74</v>
      </c>
      <c r="BI548">
        <v>4</v>
      </c>
      <c r="BJ548" t="s">
        <v>6725</v>
      </c>
      <c r="BK548" t="s">
        <v>2189</v>
      </c>
      <c r="BL548" t="s">
        <v>6726</v>
      </c>
      <c r="BM548" t="s">
        <v>6727</v>
      </c>
      <c r="BN548" t="s">
        <v>74</v>
      </c>
      <c r="BO548" t="s">
        <v>74</v>
      </c>
      <c r="BP548" t="s">
        <v>74</v>
      </c>
      <c r="BQ548" t="s">
        <v>74</v>
      </c>
      <c r="BR548" t="s">
        <v>101</v>
      </c>
      <c r="BS548" t="s">
        <v>6728</v>
      </c>
      <c r="BT548" t="str">
        <f>HYPERLINK("https%3A%2F%2Fwww.webofscience.com%2Fwos%2Fwoscc%2Ffull-record%2FWOS:000077135800032","View Full Record in Web of Science")</f>
        <v>View Full Record in Web of Science</v>
      </c>
    </row>
    <row r="549" spans="1:72" x14ac:dyDescent="0.15">
      <c r="A549" t="s">
        <v>2175</v>
      </c>
      <c r="B549" t="s">
        <v>6729</v>
      </c>
      <c r="C549" t="s">
        <v>74</v>
      </c>
      <c r="D549" t="s">
        <v>6730</v>
      </c>
      <c r="E549" t="s">
        <v>74</v>
      </c>
      <c r="F549" t="s">
        <v>6729</v>
      </c>
      <c r="G549" t="s">
        <v>74</v>
      </c>
      <c r="H549" t="s">
        <v>74</v>
      </c>
      <c r="I549" t="s">
        <v>6731</v>
      </c>
      <c r="J549" t="s">
        <v>6732</v>
      </c>
      <c r="K549" t="s">
        <v>4561</v>
      </c>
      <c r="L549" t="s">
        <v>74</v>
      </c>
      <c r="M549" t="s">
        <v>2735</v>
      </c>
      <c r="N549" t="s">
        <v>2180</v>
      </c>
      <c r="O549" t="s">
        <v>6733</v>
      </c>
      <c r="P549" t="s">
        <v>6734</v>
      </c>
      <c r="Q549" t="s">
        <v>6735</v>
      </c>
      <c r="R549" t="s">
        <v>74</v>
      </c>
      <c r="S549" t="s">
        <v>74</v>
      </c>
      <c r="T549" t="s">
        <v>6736</v>
      </c>
      <c r="U549" t="s">
        <v>74</v>
      </c>
      <c r="V549" t="s">
        <v>6737</v>
      </c>
      <c r="W549" t="s">
        <v>6738</v>
      </c>
      <c r="X549" t="s">
        <v>6739</v>
      </c>
      <c r="Y549" t="s">
        <v>74</v>
      </c>
      <c r="Z549" t="s">
        <v>6740</v>
      </c>
      <c r="AA549" t="s">
        <v>74</v>
      </c>
      <c r="AB549" t="s">
        <v>74</v>
      </c>
      <c r="AC549" t="s">
        <v>74</v>
      </c>
      <c r="AD549" t="s">
        <v>74</v>
      </c>
      <c r="AE549" t="s">
        <v>74</v>
      </c>
      <c r="AF549" t="s">
        <v>74</v>
      </c>
      <c r="AG549">
        <v>0</v>
      </c>
      <c r="AH549">
        <v>0</v>
      </c>
      <c r="AI549">
        <v>0</v>
      </c>
      <c r="AJ549">
        <v>0</v>
      </c>
      <c r="AK549">
        <v>2</v>
      </c>
      <c r="AL549" t="s">
        <v>4572</v>
      </c>
      <c r="AM549" t="s">
        <v>4328</v>
      </c>
      <c r="AN549" t="s">
        <v>4573</v>
      </c>
      <c r="AO549" t="s">
        <v>4574</v>
      </c>
      <c r="AP549" t="s">
        <v>74</v>
      </c>
      <c r="AQ549" t="s">
        <v>6741</v>
      </c>
      <c r="AR549" t="s">
        <v>4576</v>
      </c>
      <c r="AS549" t="s">
        <v>74</v>
      </c>
      <c r="AT549" t="s">
        <v>74</v>
      </c>
      <c r="AU549">
        <v>1998</v>
      </c>
      <c r="AV549" t="s">
        <v>74</v>
      </c>
      <c r="AW549" t="s">
        <v>74</v>
      </c>
      <c r="AX549" t="s">
        <v>74</v>
      </c>
      <c r="AY549" t="s">
        <v>74</v>
      </c>
      <c r="AZ549" t="s">
        <v>74</v>
      </c>
      <c r="BA549" t="s">
        <v>74</v>
      </c>
      <c r="BB549">
        <v>287</v>
      </c>
      <c r="BC549" t="s">
        <v>4124</v>
      </c>
      <c r="BD549" t="s">
        <v>74</v>
      </c>
      <c r="BE549" t="s">
        <v>74</v>
      </c>
      <c r="BF549" t="s">
        <v>74</v>
      </c>
      <c r="BG549" t="s">
        <v>74</v>
      </c>
      <c r="BH549" t="s">
        <v>74</v>
      </c>
      <c r="BI549">
        <v>28</v>
      </c>
      <c r="BJ549" t="s">
        <v>5891</v>
      </c>
      <c r="BK549" t="s">
        <v>2189</v>
      </c>
      <c r="BL549" t="s">
        <v>5891</v>
      </c>
      <c r="BM549" t="s">
        <v>6742</v>
      </c>
      <c r="BN549" t="s">
        <v>74</v>
      </c>
      <c r="BO549" t="s">
        <v>74</v>
      </c>
      <c r="BP549" t="s">
        <v>74</v>
      </c>
      <c r="BQ549" t="s">
        <v>74</v>
      </c>
      <c r="BR549" t="s">
        <v>101</v>
      </c>
      <c r="BS549" t="s">
        <v>6743</v>
      </c>
      <c r="BT549" t="str">
        <f>HYPERLINK("https%3A%2F%2Fwww.webofscience.com%2Fwos%2Fwoscc%2Ffull-record%2FWOS:000076339900010","View Full Record in Web of Science")</f>
        <v>View Full Record in Web of Science</v>
      </c>
    </row>
    <row r="550" spans="1:72" x14ac:dyDescent="0.15">
      <c r="A550" t="s">
        <v>2175</v>
      </c>
      <c r="B550" t="s">
        <v>6744</v>
      </c>
      <c r="C550" t="s">
        <v>74</v>
      </c>
      <c r="D550" t="s">
        <v>6745</v>
      </c>
      <c r="E550" t="s">
        <v>74</v>
      </c>
      <c r="F550" t="s">
        <v>6744</v>
      </c>
      <c r="G550" t="s">
        <v>74</v>
      </c>
      <c r="H550" t="s">
        <v>74</v>
      </c>
      <c r="I550" t="s">
        <v>6746</v>
      </c>
      <c r="J550" t="s">
        <v>6747</v>
      </c>
      <c r="K550" t="s">
        <v>74</v>
      </c>
      <c r="L550" t="s">
        <v>74</v>
      </c>
      <c r="M550" t="s">
        <v>77</v>
      </c>
      <c r="N550" t="s">
        <v>2180</v>
      </c>
      <c r="O550" t="s">
        <v>6748</v>
      </c>
      <c r="P550" t="s">
        <v>6749</v>
      </c>
      <c r="Q550" t="s">
        <v>6750</v>
      </c>
      <c r="R550" t="s">
        <v>74</v>
      </c>
      <c r="S550" t="s">
        <v>74</v>
      </c>
      <c r="T550" t="s">
        <v>74</v>
      </c>
      <c r="U550" t="s">
        <v>74</v>
      </c>
      <c r="V550" t="s">
        <v>6751</v>
      </c>
      <c r="W550" t="s">
        <v>6752</v>
      </c>
      <c r="X550" t="s">
        <v>6753</v>
      </c>
      <c r="Y550" t="s">
        <v>6754</v>
      </c>
      <c r="Z550" t="s">
        <v>74</v>
      </c>
      <c r="AA550" t="s">
        <v>74</v>
      </c>
      <c r="AB550" t="s">
        <v>74</v>
      </c>
      <c r="AC550" t="s">
        <v>74</v>
      </c>
      <c r="AD550" t="s">
        <v>74</v>
      </c>
      <c r="AE550" t="s">
        <v>74</v>
      </c>
      <c r="AF550" t="s">
        <v>74</v>
      </c>
      <c r="AG550">
        <v>0</v>
      </c>
      <c r="AH550">
        <v>0</v>
      </c>
      <c r="AI550">
        <v>0</v>
      </c>
      <c r="AJ550">
        <v>0</v>
      </c>
      <c r="AK550">
        <v>0</v>
      </c>
      <c r="AL550" t="s">
        <v>4610</v>
      </c>
      <c r="AM550" t="s">
        <v>1613</v>
      </c>
      <c r="AN550" t="s">
        <v>4611</v>
      </c>
      <c r="AO550" t="s">
        <v>74</v>
      </c>
      <c r="AP550" t="s">
        <v>74</v>
      </c>
      <c r="AQ550" t="s">
        <v>6755</v>
      </c>
      <c r="AR550" t="s">
        <v>74</v>
      </c>
      <c r="AS550" t="s">
        <v>74</v>
      </c>
      <c r="AT550" t="s">
        <v>74</v>
      </c>
      <c r="AU550">
        <v>1998</v>
      </c>
      <c r="AV550" t="s">
        <v>74</v>
      </c>
      <c r="AW550" t="s">
        <v>74</v>
      </c>
      <c r="AX550" t="s">
        <v>74</v>
      </c>
      <c r="AY550" t="s">
        <v>74</v>
      </c>
      <c r="AZ550" t="s">
        <v>74</v>
      </c>
      <c r="BA550" t="s">
        <v>74</v>
      </c>
      <c r="BB550">
        <v>39</v>
      </c>
      <c r="BC550">
        <v>44</v>
      </c>
      <c r="BD550" t="s">
        <v>74</v>
      </c>
      <c r="BE550" t="s">
        <v>74</v>
      </c>
      <c r="BF550" t="s">
        <v>74</v>
      </c>
      <c r="BG550" t="s">
        <v>74</v>
      </c>
      <c r="BH550" t="s">
        <v>74</v>
      </c>
      <c r="BI550">
        <v>6</v>
      </c>
      <c r="BJ550" t="s">
        <v>6756</v>
      </c>
      <c r="BK550" t="s">
        <v>2189</v>
      </c>
      <c r="BL550" t="s">
        <v>6757</v>
      </c>
      <c r="BM550" t="s">
        <v>6758</v>
      </c>
      <c r="BN550" t="s">
        <v>74</v>
      </c>
      <c r="BO550" t="s">
        <v>74</v>
      </c>
      <c r="BP550" t="s">
        <v>74</v>
      </c>
      <c r="BQ550" t="s">
        <v>74</v>
      </c>
      <c r="BR550" t="s">
        <v>101</v>
      </c>
      <c r="BS550" t="s">
        <v>6759</v>
      </c>
      <c r="BT550" t="str">
        <f>HYPERLINK("https%3A%2F%2Fwww.webofscience.com%2Fwos%2Fwoscc%2Ffull-record%2FWOS:000073721700007","View Full Record in Web of Science")</f>
        <v>View Full Record in Web of Science</v>
      </c>
    </row>
    <row r="551" spans="1:72" x14ac:dyDescent="0.15">
      <c r="A551" t="s">
        <v>2175</v>
      </c>
      <c r="B551" t="s">
        <v>6760</v>
      </c>
      <c r="C551" t="s">
        <v>74</v>
      </c>
      <c r="D551" t="s">
        <v>6745</v>
      </c>
      <c r="E551" t="s">
        <v>74</v>
      </c>
      <c r="F551" t="s">
        <v>6760</v>
      </c>
      <c r="G551" t="s">
        <v>74</v>
      </c>
      <c r="H551" t="s">
        <v>74</v>
      </c>
      <c r="I551" t="s">
        <v>6761</v>
      </c>
      <c r="J551" t="s">
        <v>6747</v>
      </c>
      <c r="K551" t="s">
        <v>74</v>
      </c>
      <c r="L551" t="s">
        <v>74</v>
      </c>
      <c r="M551" t="s">
        <v>77</v>
      </c>
      <c r="N551" t="s">
        <v>2180</v>
      </c>
      <c r="O551" t="s">
        <v>6748</v>
      </c>
      <c r="P551" t="s">
        <v>6749</v>
      </c>
      <c r="Q551" t="s">
        <v>6750</v>
      </c>
      <c r="R551" t="s">
        <v>74</v>
      </c>
      <c r="S551" t="s">
        <v>74</v>
      </c>
      <c r="T551" t="s">
        <v>74</v>
      </c>
      <c r="U551" t="s">
        <v>74</v>
      </c>
      <c r="V551" t="s">
        <v>6762</v>
      </c>
      <c r="W551" t="s">
        <v>6752</v>
      </c>
      <c r="X551" t="s">
        <v>6753</v>
      </c>
      <c r="Y551" t="s">
        <v>6763</v>
      </c>
      <c r="Z551" t="s">
        <v>74</v>
      </c>
      <c r="AA551" t="s">
        <v>6764</v>
      </c>
      <c r="AB551" t="s">
        <v>74</v>
      </c>
      <c r="AC551" t="s">
        <v>74</v>
      </c>
      <c r="AD551" t="s">
        <v>74</v>
      </c>
      <c r="AE551" t="s">
        <v>74</v>
      </c>
      <c r="AF551" t="s">
        <v>74</v>
      </c>
      <c r="AG551">
        <v>0</v>
      </c>
      <c r="AH551">
        <v>0</v>
      </c>
      <c r="AI551">
        <v>0</v>
      </c>
      <c r="AJ551">
        <v>0</v>
      </c>
      <c r="AK551">
        <v>0</v>
      </c>
      <c r="AL551" t="s">
        <v>4610</v>
      </c>
      <c r="AM551" t="s">
        <v>1613</v>
      </c>
      <c r="AN551" t="s">
        <v>4611</v>
      </c>
      <c r="AO551" t="s">
        <v>74</v>
      </c>
      <c r="AP551" t="s">
        <v>74</v>
      </c>
      <c r="AQ551" t="s">
        <v>6755</v>
      </c>
      <c r="AR551" t="s">
        <v>74</v>
      </c>
      <c r="AS551" t="s">
        <v>74</v>
      </c>
      <c r="AT551" t="s">
        <v>74</v>
      </c>
      <c r="AU551">
        <v>1998</v>
      </c>
      <c r="AV551" t="s">
        <v>74</v>
      </c>
      <c r="AW551" t="s">
        <v>74</v>
      </c>
      <c r="AX551" t="s">
        <v>74</v>
      </c>
      <c r="AY551" t="s">
        <v>74</v>
      </c>
      <c r="AZ551" t="s">
        <v>74</v>
      </c>
      <c r="BA551" t="s">
        <v>74</v>
      </c>
      <c r="BB551">
        <v>119</v>
      </c>
      <c r="BC551">
        <v>122</v>
      </c>
      <c r="BD551" t="s">
        <v>74</v>
      </c>
      <c r="BE551" t="s">
        <v>74</v>
      </c>
      <c r="BF551" t="s">
        <v>74</v>
      </c>
      <c r="BG551" t="s">
        <v>74</v>
      </c>
      <c r="BH551" t="s">
        <v>74</v>
      </c>
      <c r="BI551">
        <v>4</v>
      </c>
      <c r="BJ551" t="s">
        <v>6756</v>
      </c>
      <c r="BK551" t="s">
        <v>2189</v>
      </c>
      <c r="BL551" t="s">
        <v>6757</v>
      </c>
      <c r="BM551" t="s">
        <v>6758</v>
      </c>
      <c r="BN551" t="s">
        <v>74</v>
      </c>
      <c r="BO551" t="s">
        <v>74</v>
      </c>
      <c r="BP551" t="s">
        <v>74</v>
      </c>
      <c r="BQ551" t="s">
        <v>74</v>
      </c>
      <c r="BR551" t="s">
        <v>101</v>
      </c>
      <c r="BS551" t="s">
        <v>6765</v>
      </c>
      <c r="BT551" t="str">
        <f>HYPERLINK("https%3A%2F%2Fwww.webofscience.com%2Fwos%2Fwoscc%2Ffull-record%2FWOS:000073721700025","View Full Record in Web of Science")</f>
        <v>View Full Record in Web of Science</v>
      </c>
    </row>
    <row r="552" spans="1:72" x14ac:dyDescent="0.15">
      <c r="A552" t="s">
        <v>2175</v>
      </c>
      <c r="B552" t="s">
        <v>6766</v>
      </c>
      <c r="C552" t="s">
        <v>74</v>
      </c>
      <c r="D552" t="s">
        <v>74</v>
      </c>
      <c r="E552" t="s">
        <v>6767</v>
      </c>
      <c r="F552" t="s">
        <v>6766</v>
      </c>
      <c r="G552" t="s">
        <v>74</v>
      </c>
      <c r="H552" t="s">
        <v>74</v>
      </c>
      <c r="I552" t="s">
        <v>6768</v>
      </c>
      <c r="J552" t="s">
        <v>6769</v>
      </c>
      <c r="K552" t="s">
        <v>6770</v>
      </c>
      <c r="L552" t="s">
        <v>74</v>
      </c>
      <c r="M552" t="s">
        <v>77</v>
      </c>
      <c r="N552" t="s">
        <v>2180</v>
      </c>
      <c r="O552" t="s">
        <v>6771</v>
      </c>
      <c r="P552" t="s">
        <v>6772</v>
      </c>
      <c r="Q552" t="s">
        <v>6773</v>
      </c>
      <c r="R552" t="s">
        <v>74</v>
      </c>
      <c r="S552" t="s">
        <v>74</v>
      </c>
      <c r="T552" t="s">
        <v>74</v>
      </c>
      <c r="U552" t="s">
        <v>74</v>
      </c>
      <c r="V552" t="s">
        <v>6774</v>
      </c>
      <c r="W552" t="s">
        <v>2851</v>
      </c>
      <c r="X552" t="s">
        <v>4716</v>
      </c>
      <c r="Y552" t="s">
        <v>6775</v>
      </c>
      <c r="Z552" t="s">
        <v>74</v>
      </c>
      <c r="AA552" t="s">
        <v>6776</v>
      </c>
      <c r="AB552" t="s">
        <v>6777</v>
      </c>
      <c r="AC552" t="s">
        <v>74</v>
      </c>
      <c r="AD552" t="s">
        <v>74</v>
      </c>
      <c r="AE552" t="s">
        <v>74</v>
      </c>
      <c r="AF552" t="s">
        <v>74</v>
      </c>
      <c r="AG552">
        <v>15</v>
      </c>
      <c r="AH552">
        <v>4</v>
      </c>
      <c r="AI552">
        <v>5</v>
      </c>
      <c r="AJ552">
        <v>0</v>
      </c>
      <c r="AK552">
        <v>0</v>
      </c>
      <c r="AL552" t="s">
        <v>6778</v>
      </c>
      <c r="AM552" t="s">
        <v>4328</v>
      </c>
      <c r="AN552" t="s">
        <v>6779</v>
      </c>
      <c r="AO552" t="s">
        <v>6780</v>
      </c>
      <c r="AP552" t="s">
        <v>74</v>
      </c>
      <c r="AQ552" t="s">
        <v>6781</v>
      </c>
      <c r="AR552" t="s">
        <v>6782</v>
      </c>
      <c r="AS552" t="s">
        <v>74</v>
      </c>
      <c r="AT552" t="s">
        <v>74</v>
      </c>
      <c r="AU552">
        <v>1998</v>
      </c>
      <c r="AV552">
        <v>424</v>
      </c>
      <c r="AW552" t="s">
        <v>74</v>
      </c>
      <c r="AX552" t="s">
        <v>74</v>
      </c>
      <c r="AY552" t="s">
        <v>74</v>
      </c>
      <c r="AZ552" t="s">
        <v>74</v>
      </c>
      <c r="BA552" t="s">
        <v>74</v>
      </c>
      <c r="BB552">
        <v>91</v>
      </c>
      <c r="BC552">
        <v>96</v>
      </c>
      <c r="BD552" t="s">
        <v>74</v>
      </c>
      <c r="BE552" t="s">
        <v>74</v>
      </c>
      <c r="BF552" t="s">
        <v>74</v>
      </c>
      <c r="BG552" t="s">
        <v>74</v>
      </c>
      <c r="BH552" t="s">
        <v>74</v>
      </c>
      <c r="BI552">
        <v>6</v>
      </c>
      <c r="BJ552" t="s">
        <v>6783</v>
      </c>
      <c r="BK552" t="s">
        <v>2189</v>
      </c>
      <c r="BL552" t="s">
        <v>6784</v>
      </c>
      <c r="BM552" t="s">
        <v>6785</v>
      </c>
      <c r="BN552" t="s">
        <v>74</v>
      </c>
      <c r="BO552" t="s">
        <v>74</v>
      </c>
      <c r="BP552" t="s">
        <v>74</v>
      </c>
      <c r="BQ552" t="s">
        <v>74</v>
      </c>
      <c r="BR552" t="s">
        <v>101</v>
      </c>
      <c r="BS552" t="s">
        <v>6786</v>
      </c>
      <c r="BT552" t="str">
        <f>HYPERLINK("https%3A%2F%2Fwww.webofscience.com%2Fwos%2Fwoscc%2Ffull-record%2FWOS:000079962700015","View Full Record in Web of Science")</f>
        <v>View Full Record in Web of Science</v>
      </c>
    </row>
    <row r="553" spans="1:72" x14ac:dyDescent="0.15">
      <c r="A553" t="s">
        <v>2175</v>
      </c>
      <c r="B553" t="s">
        <v>4766</v>
      </c>
      <c r="C553" t="s">
        <v>74</v>
      </c>
      <c r="D553" t="s">
        <v>74</v>
      </c>
      <c r="E553" t="s">
        <v>6767</v>
      </c>
      <c r="F553" t="s">
        <v>4766</v>
      </c>
      <c r="G553" t="s">
        <v>74</v>
      </c>
      <c r="H553" t="s">
        <v>74</v>
      </c>
      <c r="I553" t="s">
        <v>6787</v>
      </c>
      <c r="J553" t="s">
        <v>6769</v>
      </c>
      <c r="K553" t="s">
        <v>6770</v>
      </c>
      <c r="L553" t="s">
        <v>74</v>
      </c>
      <c r="M553" t="s">
        <v>77</v>
      </c>
      <c r="N553" t="s">
        <v>2180</v>
      </c>
      <c r="O553" t="s">
        <v>6771</v>
      </c>
      <c r="P553" t="s">
        <v>6772</v>
      </c>
      <c r="Q553" t="s">
        <v>6773</v>
      </c>
      <c r="R553" t="s">
        <v>74</v>
      </c>
      <c r="S553" t="s">
        <v>74</v>
      </c>
      <c r="T553" t="s">
        <v>74</v>
      </c>
      <c r="U553" t="s">
        <v>74</v>
      </c>
      <c r="V553" t="s">
        <v>74</v>
      </c>
      <c r="W553" t="s">
        <v>3013</v>
      </c>
      <c r="X553" t="s">
        <v>672</v>
      </c>
      <c r="Y553" t="s">
        <v>6788</v>
      </c>
      <c r="Z553" t="s">
        <v>74</v>
      </c>
      <c r="AA553" t="s">
        <v>74</v>
      </c>
      <c r="AB553" t="s">
        <v>1064</v>
      </c>
      <c r="AC553" t="s">
        <v>74</v>
      </c>
      <c r="AD553" t="s">
        <v>74</v>
      </c>
      <c r="AE553" t="s">
        <v>74</v>
      </c>
      <c r="AF553" t="s">
        <v>74</v>
      </c>
      <c r="AG553">
        <v>0</v>
      </c>
      <c r="AH553">
        <v>0</v>
      </c>
      <c r="AI553">
        <v>0</v>
      </c>
      <c r="AJ553">
        <v>0</v>
      </c>
      <c r="AK553">
        <v>0</v>
      </c>
      <c r="AL553" t="s">
        <v>6778</v>
      </c>
      <c r="AM553" t="s">
        <v>4328</v>
      </c>
      <c r="AN553" t="s">
        <v>6779</v>
      </c>
      <c r="AO553" t="s">
        <v>6780</v>
      </c>
      <c r="AP553" t="s">
        <v>74</v>
      </c>
      <c r="AQ553" t="s">
        <v>6781</v>
      </c>
      <c r="AR553" t="s">
        <v>6782</v>
      </c>
      <c r="AS553" t="s">
        <v>74</v>
      </c>
      <c r="AT553" t="s">
        <v>74</v>
      </c>
      <c r="AU553">
        <v>1998</v>
      </c>
      <c r="AV553">
        <v>424</v>
      </c>
      <c r="AW553" t="s">
        <v>74</v>
      </c>
      <c r="AX553" t="s">
        <v>74</v>
      </c>
      <c r="AY553" t="s">
        <v>74</v>
      </c>
      <c r="AZ553" t="s">
        <v>74</v>
      </c>
      <c r="BA553" t="s">
        <v>74</v>
      </c>
      <c r="BB553">
        <v>97</v>
      </c>
      <c r="BC553">
        <v>97</v>
      </c>
      <c r="BD553" t="s">
        <v>74</v>
      </c>
      <c r="BE553" t="s">
        <v>74</v>
      </c>
      <c r="BF553" t="s">
        <v>74</v>
      </c>
      <c r="BG553" t="s">
        <v>74</v>
      </c>
      <c r="BH553" t="s">
        <v>74</v>
      </c>
      <c r="BI553">
        <v>1</v>
      </c>
      <c r="BJ553" t="s">
        <v>6783</v>
      </c>
      <c r="BK553" t="s">
        <v>2189</v>
      </c>
      <c r="BL553" t="s">
        <v>6784</v>
      </c>
      <c r="BM553" t="s">
        <v>6785</v>
      </c>
      <c r="BN553" t="s">
        <v>74</v>
      </c>
      <c r="BO553" t="s">
        <v>74</v>
      </c>
      <c r="BP553" t="s">
        <v>74</v>
      </c>
      <c r="BQ553" t="s">
        <v>74</v>
      </c>
      <c r="BR553" t="s">
        <v>101</v>
      </c>
      <c r="BS553" t="s">
        <v>6789</v>
      </c>
      <c r="BT553" t="str">
        <f>HYPERLINK("https%3A%2F%2Fwww.webofscience.com%2Fwos%2Fwoscc%2Ffull-record%2FWOS:000079962700016","View Full Record in Web of Science")</f>
        <v>View Full Record in Web of Science</v>
      </c>
    </row>
    <row r="554" spans="1:72" x14ac:dyDescent="0.15">
      <c r="A554" t="s">
        <v>2175</v>
      </c>
      <c r="B554" t="s">
        <v>6790</v>
      </c>
      <c r="C554" t="s">
        <v>74</v>
      </c>
      <c r="D554" t="s">
        <v>74</v>
      </c>
      <c r="E554" t="s">
        <v>6767</v>
      </c>
      <c r="F554" t="s">
        <v>6790</v>
      </c>
      <c r="G554" t="s">
        <v>74</v>
      </c>
      <c r="H554" t="s">
        <v>74</v>
      </c>
      <c r="I554" t="s">
        <v>6791</v>
      </c>
      <c r="J554" t="s">
        <v>6769</v>
      </c>
      <c r="K554" t="s">
        <v>6770</v>
      </c>
      <c r="L554" t="s">
        <v>74</v>
      </c>
      <c r="M554" t="s">
        <v>77</v>
      </c>
      <c r="N554" t="s">
        <v>2180</v>
      </c>
      <c r="O554" t="s">
        <v>6771</v>
      </c>
      <c r="P554" t="s">
        <v>6772</v>
      </c>
      <c r="Q554" t="s">
        <v>6773</v>
      </c>
      <c r="R554" t="s">
        <v>74</v>
      </c>
      <c r="S554" t="s">
        <v>74</v>
      </c>
      <c r="T554" t="s">
        <v>74</v>
      </c>
      <c r="U554" t="s">
        <v>6792</v>
      </c>
      <c r="V554" t="s">
        <v>6793</v>
      </c>
      <c r="W554" t="s">
        <v>2851</v>
      </c>
      <c r="X554" t="s">
        <v>4716</v>
      </c>
      <c r="Y554" t="s">
        <v>6775</v>
      </c>
      <c r="Z554" t="s">
        <v>74</v>
      </c>
      <c r="AA554" t="s">
        <v>4672</v>
      </c>
      <c r="AB554" t="s">
        <v>4673</v>
      </c>
      <c r="AC554" t="s">
        <v>74</v>
      </c>
      <c r="AD554" t="s">
        <v>74</v>
      </c>
      <c r="AE554" t="s">
        <v>74</v>
      </c>
      <c r="AF554" t="s">
        <v>74</v>
      </c>
      <c r="AG554">
        <v>9</v>
      </c>
      <c r="AH554">
        <v>4</v>
      </c>
      <c r="AI554">
        <v>4</v>
      </c>
      <c r="AJ554">
        <v>0</v>
      </c>
      <c r="AK554">
        <v>0</v>
      </c>
      <c r="AL554" t="s">
        <v>6778</v>
      </c>
      <c r="AM554" t="s">
        <v>4328</v>
      </c>
      <c r="AN554" t="s">
        <v>6779</v>
      </c>
      <c r="AO554" t="s">
        <v>6780</v>
      </c>
      <c r="AP554" t="s">
        <v>74</v>
      </c>
      <c r="AQ554" t="s">
        <v>6781</v>
      </c>
      <c r="AR554" t="s">
        <v>6782</v>
      </c>
      <c r="AS554" t="s">
        <v>74</v>
      </c>
      <c r="AT554" t="s">
        <v>74</v>
      </c>
      <c r="AU554">
        <v>1998</v>
      </c>
      <c r="AV554">
        <v>424</v>
      </c>
      <c r="AW554" t="s">
        <v>74</v>
      </c>
      <c r="AX554" t="s">
        <v>74</v>
      </c>
      <c r="AY554" t="s">
        <v>74</v>
      </c>
      <c r="AZ554" t="s">
        <v>74</v>
      </c>
      <c r="BA554" t="s">
        <v>74</v>
      </c>
      <c r="BB554">
        <v>119</v>
      </c>
      <c r="BC554">
        <v>123</v>
      </c>
      <c r="BD554" t="s">
        <v>74</v>
      </c>
      <c r="BE554" t="s">
        <v>74</v>
      </c>
      <c r="BF554" t="s">
        <v>74</v>
      </c>
      <c r="BG554" t="s">
        <v>74</v>
      </c>
      <c r="BH554" t="s">
        <v>74</v>
      </c>
      <c r="BI554">
        <v>5</v>
      </c>
      <c r="BJ554" t="s">
        <v>6783</v>
      </c>
      <c r="BK554" t="s">
        <v>2189</v>
      </c>
      <c r="BL554" t="s">
        <v>6784</v>
      </c>
      <c r="BM554" t="s">
        <v>6785</v>
      </c>
      <c r="BN554" t="s">
        <v>74</v>
      </c>
      <c r="BO554" t="s">
        <v>74</v>
      </c>
      <c r="BP554" t="s">
        <v>74</v>
      </c>
      <c r="BQ554" t="s">
        <v>74</v>
      </c>
      <c r="BR554" t="s">
        <v>101</v>
      </c>
      <c r="BS554" t="s">
        <v>6794</v>
      </c>
      <c r="BT554" t="str">
        <f>HYPERLINK("https%3A%2F%2Fwww.webofscience.com%2Fwos%2Fwoscc%2Ffull-record%2FWOS:000079962700020","View Full Record in Web of Science")</f>
        <v>View Full Record in Web of Science</v>
      </c>
    </row>
    <row r="555" spans="1:72" x14ac:dyDescent="0.15">
      <c r="A555" t="s">
        <v>2175</v>
      </c>
      <c r="B555" t="s">
        <v>6795</v>
      </c>
      <c r="C555" t="s">
        <v>74</v>
      </c>
      <c r="D555" t="s">
        <v>74</v>
      </c>
      <c r="E555" t="s">
        <v>6767</v>
      </c>
      <c r="F555" t="s">
        <v>6795</v>
      </c>
      <c r="G555" t="s">
        <v>74</v>
      </c>
      <c r="H555" t="s">
        <v>74</v>
      </c>
      <c r="I555" t="s">
        <v>6796</v>
      </c>
      <c r="J555" t="s">
        <v>6769</v>
      </c>
      <c r="K555" t="s">
        <v>6770</v>
      </c>
      <c r="L555" t="s">
        <v>74</v>
      </c>
      <c r="M555" t="s">
        <v>77</v>
      </c>
      <c r="N555" t="s">
        <v>2180</v>
      </c>
      <c r="O555" t="s">
        <v>6771</v>
      </c>
      <c r="P555" t="s">
        <v>6772</v>
      </c>
      <c r="Q555" t="s">
        <v>6773</v>
      </c>
      <c r="R555" t="s">
        <v>74</v>
      </c>
      <c r="S555" t="s">
        <v>74</v>
      </c>
      <c r="T555" t="s">
        <v>74</v>
      </c>
      <c r="U555" t="s">
        <v>6797</v>
      </c>
      <c r="V555" t="s">
        <v>6798</v>
      </c>
      <c r="W555" t="s">
        <v>6799</v>
      </c>
      <c r="X555" t="s">
        <v>672</v>
      </c>
      <c r="Y555" t="s">
        <v>6800</v>
      </c>
      <c r="Z555" t="s">
        <v>74</v>
      </c>
      <c r="AA555" t="s">
        <v>74</v>
      </c>
      <c r="AB555" t="s">
        <v>1064</v>
      </c>
      <c r="AC555" t="s">
        <v>74</v>
      </c>
      <c r="AD555" t="s">
        <v>74</v>
      </c>
      <c r="AE555" t="s">
        <v>74</v>
      </c>
      <c r="AF555" t="s">
        <v>74</v>
      </c>
      <c r="AG555">
        <v>12</v>
      </c>
      <c r="AH555">
        <v>6</v>
      </c>
      <c r="AI555">
        <v>6</v>
      </c>
      <c r="AJ555">
        <v>0</v>
      </c>
      <c r="AK555">
        <v>1</v>
      </c>
      <c r="AL555" t="s">
        <v>6778</v>
      </c>
      <c r="AM555" t="s">
        <v>4328</v>
      </c>
      <c r="AN555" t="s">
        <v>6779</v>
      </c>
      <c r="AO555" t="s">
        <v>6780</v>
      </c>
      <c r="AP555" t="s">
        <v>74</v>
      </c>
      <c r="AQ555" t="s">
        <v>6781</v>
      </c>
      <c r="AR555" t="s">
        <v>6782</v>
      </c>
      <c r="AS555" t="s">
        <v>74</v>
      </c>
      <c r="AT555" t="s">
        <v>74</v>
      </c>
      <c r="AU555">
        <v>1998</v>
      </c>
      <c r="AV555">
        <v>424</v>
      </c>
      <c r="AW555" t="s">
        <v>74</v>
      </c>
      <c r="AX555" t="s">
        <v>74</v>
      </c>
      <c r="AY555" t="s">
        <v>74</v>
      </c>
      <c r="AZ555" t="s">
        <v>74</v>
      </c>
      <c r="BA555" t="s">
        <v>74</v>
      </c>
      <c r="BB555">
        <v>125</v>
      </c>
      <c r="BC555">
        <v>132</v>
      </c>
      <c r="BD555" t="s">
        <v>74</v>
      </c>
      <c r="BE555" t="s">
        <v>74</v>
      </c>
      <c r="BF555" t="s">
        <v>74</v>
      </c>
      <c r="BG555" t="s">
        <v>74</v>
      </c>
      <c r="BH555" t="s">
        <v>74</v>
      </c>
      <c r="BI555">
        <v>8</v>
      </c>
      <c r="BJ555" t="s">
        <v>6783</v>
      </c>
      <c r="BK555" t="s">
        <v>2189</v>
      </c>
      <c r="BL555" t="s">
        <v>6784</v>
      </c>
      <c r="BM555" t="s">
        <v>6785</v>
      </c>
      <c r="BN555" t="s">
        <v>74</v>
      </c>
      <c r="BO555" t="s">
        <v>74</v>
      </c>
      <c r="BP555" t="s">
        <v>74</v>
      </c>
      <c r="BQ555" t="s">
        <v>74</v>
      </c>
      <c r="BR555" t="s">
        <v>101</v>
      </c>
      <c r="BS555" t="s">
        <v>6801</v>
      </c>
      <c r="BT555" t="str">
        <f>HYPERLINK("https%3A%2F%2Fwww.webofscience.com%2Fwos%2Fwoscc%2Ffull-record%2FWOS:000079962700021","View Full Record in Web of Science")</f>
        <v>View Full Record in Web of Science</v>
      </c>
    </row>
    <row r="556" spans="1:72" x14ac:dyDescent="0.15">
      <c r="A556" t="s">
        <v>72</v>
      </c>
      <c r="B556" t="s">
        <v>6802</v>
      </c>
      <c r="C556" t="s">
        <v>74</v>
      </c>
      <c r="D556" t="s">
        <v>74</v>
      </c>
      <c r="E556" t="s">
        <v>74</v>
      </c>
      <c r="F556" t="s">
        <v>6802</v>
      </c>
      <c r="G556" t="s">
        <v>74</v>
      </c>
      <c r="H556" t="s">
        <v>74</v>
      </c>
      <c r="I556" t="s">
        <v>6803</v>
      </c>
      <c r="J556" t="s">
        <v>6804</v>
      </c>
      <c r="K556" t="s">
        <v>74</v>
      </c>
      <c r="L556" t="s">
        <v>74</v>
      </c>
      <c r="M556" t="s">
        <v>6805</v>
      </c>
      <c r="N556" t="s">
        <v>1135</v>
      </c>
      <c r="O556" t="s">
        <v>74</v>
      </c>
      <c r="P556" t="s">
        <v>74</v>
      </c>
      <c r="Q556" t="s">
        <v>74</v>
      </c>
      <c r="R556" t="s">
        <v>74</v>
      </c>
      <c r="S556" t="s">
        <v>74</v>
      </c>
      <c r="T556" t="s">
        <v>74</v>
      </c>
      <c r="U556" t="s">
        <v>74</v>
      </c>
      <c r="V556" t="s">
        <v>74</v>
      </c>
      <c r="W556" t="s">
        <v>74</v>
      </c>
      <c r="X556" t="s">
        <v>74</v>
      </c>
      <c r="Y556" t="s">
        <v>74</v>
      </c>
      <c r="Z556" t="s">
        <v>74</v>
      </c>
      <c r="AA556" t="s">
        <v>74</v>
      </c>
      <c r="AB556" t="s">
        <v>74</v>
      </c>
      <c r="AC556" t="s">
        <v>74</v>
      </c>
      <c r="AD556" t="s">
        <v>74</v>
      </c>
      <c r="AE556" t="s">
        <v>74</v>
      </c>
      <c r="AF556" t="s">
        <v>74</v>
      </c>
      <c r="AG556">
        <v>1</v>
      </c>
      <c r="AH556">
        <v>0</v>
      </c>
      <c r="AI556">
        <v>0</v>
      </c>
      <c r="AJ556">
        <v>0</v>
      </c>
      <c r="AK556">
        <v>1</v>
      </c>
      <c r="AL556" t="s">
        <v>6806</v>
      </c>
      <c r="AM556" t="s">
        <v>6807</v>
      </c>
      <c r="AN556" t="s">
        <v>6808</v>
      </c>
      <c r="AO556" t="s">
        <v>6809</v>
      </c>
      <c r="AP556" t="s">
        <v>74</v>
      </c>
      <c r="AQ556" t="s">
        <v>74</v>
      </c>
      <c r="AR556" t="s">
        <v>6810</v>
      </c>
      <c r="AS556" t="s">
        <v>6811</v>
      </c>
      <c r="AT556" t="s">
        <v>74</v>
      </c>
      <c r="AU556">
        <v>1998</v>
      </c>
      <c r="AV556">
        <v>65</v>
      </c>
      <c r="AW556">
        <v>1</v>
      </c>
      <c r="AX556" t="s">
        <v>74</v>
      </c>
      <c r="AY556" t="s">
        <v>74</v>
      </c>
      <c r="AZ556" t="s">
        <v>74</v>
      </c>
      <c r="BA556" t="s">
        <v>74</v>
      </c>
      <c r="BB556">
        <v>97</v>
      </c>
      <c r="BC556">
        <v>100</v>
      </c>
      <c r="BD556" t="s">
        <v>74</v>
      </c>
      <c r="BE556" t="s">
        <v>74</v>
      </c>
      <c r="BF556" t="s">
        <v>74</v>
      </c>
      <c r="BG556" t="s">
        <v>74</v>
      </c>
      <c r="BH556" t="s">
        <v>74</v>
      </c>
      <c r="BI556">
        <v>4</v>
      </c>
      <c r="BJ556" t="s">
        <v>6812</v>
      </c>
      <c r="BK556" t="s">
        <v>1142</v>
      </c>
      <c r="BL556" t="s">
        <v>6813</v>
      </c>
      <c r="BM556" t="s">
        <v>6814</v>
      </c>
      <c r="BN556" t="s">
        <v>74</v>
      </c>
      <c r="BO556" t="s">
        <v>74</v>
      </c>
      <c r="BP556" t="s">
        <v>74</v>
      </c>
      <c r="BQ556" t="s">
        <v>74</v>
      </c>
      <c r="BR556" t="s">
        <v>101</v>
      </c>
      <c r="BS556" t="s">
        <v>6815</v>
      </c>
      <c r="BT556" t="str">
        <f>HYPERLINK("https%3A%2F%2Fwww.webofscience.com%2Fwos%2Fwoscc%2Ffull-record%2FWOS:000072084200020","View Full Record in Web of Science")</f>
        <v>View Full Record in Web of Science</v>
      </c>
    </row>
    <row r="557" spans="1:72" x14ac:dyDescent="0.15">
      <c r="A557" t="s">
        <v>72</v>
      </c>
      <c r="B557" t="s">
        <v>6816</v>
      </c>
      <c r="C557" t="s">
        <v>74</v>
      </c>
      <c r="D557" t="s">
        <v>74</v>
      </c>
      <c r="E557" t="s">
        <v>74</v>
      </c>
      <c r="F557" t="s">
        <v>6816</v>
      </c>
      <c r="G557" t="s">
        <v>74</v>
      </c>
      <c r="H557" t="s">
        <v>74</v>
      </c>
      <c r="I557" t="s">
        <v>6817</v>
      </c>
      <c r="J557" t="s">
        <v>6818</v>
      </c>
      <c r="K557" t="s">
        <v>74</v>
      </c>
      <c r="L557" t="s">
        <v>74</v>
      </c>
      <c r="M557" t="s">
        <v>77</v>
      </c>
      <c r="N557" t="s">
        <v>78</v>
      </c>
      <c r="O557" t="s">
        <v>74</v>
      </c>
      <c r="P557" t="s">
        <v>74</v>
      </c>
      <c r="Q557" t="s">
        <v>74</v>
      </c>
      <c r="R557" t="s">
        <v>74</v>
      </c>
      <c r="S557" t="s">
        <v>74</v>
      </c>
      <c r="T557" t="s">
        <v>6819</v>
      </c>
      <c r="U557" t="s">
        <v>6820</v>
      </c>
      <c r="V557" t="s">
        <v>6821</v>
      </c>
      <c r="W557" t="s">
        <v>6822</v>
      </c>
      <c r="X557" t="s">
        <v>6823</v>
      </c>
      <c r="Y557" t="s">
        <v>6824</v>
      </c>
      <c r="Z557" t="s">
        <v>6825</v>
      </c>
      <c r="AA557" t="s">
        <v>6826</v>
      </c>
      <c r="AB557" t="s">
        <v>74</v>
      </c>
      <c r="AC557" t="s">
        <v>74</v>
      </c>
      <c r="AD557" t="s">
        <v>74</v>
      </c>
      <c r="AE557" t="s">
        <v>74</v>
      </c>
      <c r="AF557" t="s">
        <v>74</v>
      </c>
      <c r="AG557">
        <v>31</v>
      </c>
      <c r="AH557">
        <v>15</v>
      </c>
      <c r="AI557">
        <v>18</v>
      </c>
      <c r="AJ557">
        <v>0</v>
      </c>
      <c r="AK557">
        <v>6</v>
      </c>
      <c r="AL557" t="s">
        <v>6827</v>
      </c>
      <c r="AM557" t="s">
        <v>6828</v>
      </c>
      <c r="AN557" t="s">
        <v>6829</v>
      </c>
      <c r="AO557" t="s">
        <v>6830</v>
      </c>
      <c r="AP557" t="s">
        <v>74</v>
      </c>
      <c r="AQ557" t="s">
        <v>74</v>
      </c>
      <c r="AR557" t="s">
        <v>6831</v>
      </c>
      <c r="AS557" t="s">
        <v>6832</v>
      </c>
      <c r="AT557" t="s">
        <v>2502</v>
      </c>
      <c r="AU557">
        <v>1998</v>
      </c>
      <c r="AV557">
        <v>37</v>
      </c>
      <c r="AW557">
        <v>1</v>
      </c>
      <c r="AX557" t="s">
        <v>74</v>
      </c>
      <c r="AY557" t="s">
        <v>74</v>
      </c>
      <c r="AZ557" t="s">
        <v>74</v>
      </c>
      <c r="BA557" t="s">
        <v>74</v>
      </c>
      <c r="BB557">
        <v>39</v>
      </c>
      <c r="BC557">
        <v>44</v>
      </c>
      <c r="BD557" t="s">
        <v>74</v>
      </c>
      <c r="BE557" t="s">
        <v>74</v>
      </c>
      <c r="BF557" t="s">
        <v>74</v>
      </c>
      <c r="BG557" t="s">
        <v>74</v>
      </c>
      <c r="BH557" t="s">
        <v>74</v>
      </c>
      <c r="BI557">
        <v>6</v>
      </c>
      <c r="BJ557" t="s">
        <v>417</v>
      </c>
      <c r="BK557" t="s">
        <v>98</v>
      </c>
      <c r="BL557" t="s">
        <v>417</v>
      </c>
      <c r="BM557" t="s">
        <v>6833</v>
      </c>
      <c r="BN557" t="s">
        <v>74</v>
      </c>
      <c r="BO557" t="s">
        <v>74</v>
      </c>
      <c r="BP557" t="s">
        <v>74</v>
      </c>
      <c r="BQ557" t="s">
        <v>74</v>
      </c>
      <c r="BR557" t="s">
        <v>101</v>
      </c>
      <c r="BS557" t="s">
        <v>6834</v>
      </c>
      <c r="BT557" t="str">
        <f>HYPERLINK("https%3A%2F%2Fwww.webofscience.com%2Fwos%2Fwoscc%2Ffull-record%2FWOS:000072531300006","View Full Record in Web of Science")</f>
        <v>View Full Record in Web of Science</v>
      </c>
    </row>
    <row r="558" spans="1:72" x14ac:dyDescent="0.15">
      <c r="A558" t="s">
        <v>72</v>
      </c>
      <c r="B558" t="s">
        <v>6835</v>
      </c>
      <c r="C558" t="s">
        <v>74</v>
      </c>
      <c r="D558" t="s">
        <v>74</v>
      </c>
      <c r="E558" t="s">
        <v>74</v>
      </c>
      <c r="F558" t="s">
        <v>6835</v>
      </c>
      <c r="G558" t="s">
        <v>74</v>
      </c>
      <c r="H558" t="s">
        <v>74</v>
      </c>
      <c r="I558" t="s">
        <v>6836</v>
      </c>
      <c r="J558" t="s">
        <v>1977</v>
      </c>
      <c r="K558" t="s">
        <v>74</v>
      </c>
      <c r="L558" t="s">
        <v>74</v>
      </c>
      <c r="M558" t="s">
        <v>77</v>
      </c>
      <c r="N558" t="s">
        <v>78</v>
      </c>
      <c r="O558" t="s">
        <v>74</v>
      </c>
      <c r="P558" t="s">
        <v>74</v>
      </c>
      <c r="Q558" t="s">
        <v>74</v>
      </c>
      <c r="R558" t="s">
        <v>74</v>
      </c>
      <c r="S558" t="s">
        <v>74</v>
      </c>
      <c r="T558" t="s">
        <v>6837</v>
      </c>
      <c r="U558" t="s">
        <v>6838</v>
      </c>
      <c r="V558" t="s">
        <v>6839</v>
      </c>
      <c r="W558" t="s">
        <v>6840</v>
      </c>
      <c r="X558" t="s">
        <v>6841</v>
      </c>
      <c r="Y558" t="s">
        <v>6842</v>
      </c>
      <c r="Z558" t="s">
        <v>6843</v>
      </c>
      <c r="AA558" t="s">
        <v>6844</v>
      </c>
      <c r="AB558" t="s">
        <v>74</v>
      </c>
      <c r="AC558" t="s">
        <v>74</v>
      </c>
      <c r="AD558" t="s">
        <v>74</v>
      </c>
      <c r="AE558" t="s">
        <v>74</v>
      </c>
      <c r="AF558" t="s">
        <v>74</v>
      </c>
      <c r="AG558">
        <v>59</v>
      </c>
      <c r="AH558">
        <v>21</v>
      </c>
      <c r="AI558">
        <v>24</v>
      </c>
      <c r="AJ558">
        <v>0</v>
      </c>
      <c r="AK558">
        <v>11</v>
      </c>
      <c r="AL558" t="s">
        <v>1029</v>
      </c>
      <c r="AM558" t="s">
        <v>1030</v>
      </c>
      <c r="AN558" t="s">
        <v>1031</v>
      </c>
      <c r="AO558" t="s">
        <v>1987</v>
      </c>
      <c r="AP558" t="s">
        <v>74</v>
      </c>
      <c r="AQ558" t="s">
        <v>74</v>
      </c>
      <c r="AR558" t="s">
        <v>1977</v>
      </c>
      <c r="AS558" t="s">
        <v>1988</v>
      </c>
      <c r="AT558" t="s">
        <v>6845</v>
      </c>
      <c r="AU558">
        <v>1997</v>
      </c>
      <c r="AV558">
        <v>283</v>
      </c>
      <c r="AW558" t="s">
        <v>4183</v>
      </c>
      <c r="AX558" t="s">
        <v>74</v>
      </c>
      <c r="AY558" t="s">
        <v>74</v>
      </c>
      <c r="AZ558" t="s">
        <v>74</v>
      </c>
      <c r="BA558" t="s">
        <v>74</v>
      </c>
      <c r="BB558">
        <v>35</v>
      </c>
      <c r="BC558">
        <v>60</v>
      </c>
      <c r="BD558" t="s">
        <v>74</v>
      </c>
      <c r="BE558" t="s">
        <v>6846</v>
      </c>
      <c r="BF558" t="str">
        <f>HYPERLINK("http://dx.doi.org/10.1016/S0040-1951(97)00150-9","http://dx.doi.org/10.1016/S0040-1951(97)00150-9")</f>
        <v>http://dx.doi.org/10.1016/S0040-1951(97)00150-9</v>
      </c>
      <c r="BG558" t="s">
        <v>74</v>
      </c>
      <c r="BH558" t="s">
        <v>74</v>
      </c>
      <c r="BI558">
        <v>26</v>
      </c>
      <c r="BJ558" t="s">
        <v>143</v>
      </c>
      <c r="BK558" t="s">
        <v>98</v>
      </c>
      <c r="BL558" t="s">
        <v>143</v>
      </c>
      <c r="BM558" t="s">
        <v>6847</v>
      </c>
      <c r="BN558" t="s">
        <v>74</v>
      </c>
      <c r="BO558" t="s">
        <v>6848</v>
      </c>
      <c r="BP558" t="s">
        <v>74</v>
      </c>
      <c r="BQ558" t="s">
        <v>74</v>
      </c>
      <c r="BR558" t="s">
        <v>101</v>
      </c>
      <c r="BS558" t="s">
        <v>6849</v>
      </c>
      <c r="BT558" t="str">
        <f>HYPERLINK("https%3A%2F%2Fwww.webofscience.com%2Fwos%2Fwoscc%2Ffull-record%2FWOS:000071661200002","View Full Record in Web of Science")</f>
        <v>View Full Record in Web of Science</v>
      </c>
    </row>
    <row r="559" spans="1:72" x14ac:dyDescent="0.15">
      <c r="A559" t="s">
        <v>72</v>
      </c>
      <c r="B559" t="s">
        <v>6850</v>
      </c>
      <c r="C559" t="s">
        <v>74</v>
      </c>
      <c r="D559" t="s">
        <v>74</v>
      </c>
      <c r="E559" t="s">
        <v>74</v>
      </c>
      <c r="F559" t="s">
        <v>6850</v>
      </c>
      <c r="G559" t="s">
        <v>74</v>
      </c>
      <c r="H559" t="s">
        <v>74</v>
      </c>
      <c r="I559" t="s">
        <v>6851</v>
      </c>
      <c r="J559" t="s">
        <v>994</v>
      </c>
      <c r="K559" t="s">
        <v>74</v>
      </c>
      <c r="L559" t="s">
        <v>74</v>
      </c>
      <c r="M559" t="s">
        <v>77</v>
      </c>
      <c r="N559" t="s">
        <v>78</v>
      </c>
      <c r="O559" t="s">
        <v>74</v>
      </c>
      <c r="P559" t="s">
        <v>74</v>
      </c>
      <c r="Q559" t="s">
        <v>74</v>
      </c>
      <c r="R559" t="s">
        <v>74</v>
      </c>
      <c r="S559" t="s">
        <v>74</v>
      </c>
      <c r="T559" t="s">
        <v>74</v>
      </c>
      <c r="U559" t="s">
        <v>6852</v>
      </c>
      <c r="V559" t="s">
        <v>6853</v>
      </c>
      <c r="W559" t="s">
        <v>6854</v>
      </c>
      <c r="X559" t="s">
        <v>6855</v>
      </c>
      <c r="Y559" t="s">
        <v>6856</v>
      </c>
      <c r="Z559" t="s">
        <v>6857</v>
      </c>
      <c r="AA559" t="s">
        <v>6858</v>
      </c>
      <c r="AB559" t="s">
        <v>6859</v>
      </c>
      <c r="AC559" t="s">
        <v>74</v>
      </c>
      <c r="AD559" t="s">
        <v>74</v>
      </c>
      <c r="AE559" t="s">
        <v>74</v>
      </c>
      <c r="AF559" t="s">
        <v>74</v>
      </c>
      <c r="AG559">
        <v>50</v>
      </c>
      <c r="AH559">
        <v>51</v>
      </c>
      <c r="AI559">
        <v>54</v>
      </c>
      <c r="AJ559">
        <v>1</v>
      </c>
      <c r="AK559">
        <v>11</v>
      </c>
      <c r="AL559" t="s">
        <v>87</v>
      </c>
      <c r="AM559" t="s">
        <v>88</v>
      </c>
      <c r="AN559" t="s">
        <v>89</v>
      </c>
      <c r="AO559" t="s">
        <v>1001</v>
      </c>
      <c r="AP559" t="s">
        <v>2036</v>
      </c>
      <c r="AQ559" t="s">
        <v>74</v>
      </c>
      <c r="AR559" t="s">
        <v>1002</v>
      </c>
      <c r="AS559" t="s">
        <v>1003</v>
      </c>
      <c r="AT559" t="s">
        <v>6860</v>
      </c>
      <c r="AU559">
        <v>1997</v>
      </c>
      <c r="AV559">
        <v>102</v>
      </c>
      <c r="AW559" t="s">
        <v>6861</v>
      </c>
      <c r="AX559" t="s">
        <v>74</v>
      </c>
      <c r="AY559" t="s">
        <v>74</v>
      </c>
      <c r="AZ559" t="s">
        <v>74</v>
      </c>
      <c r="BA559" t="s">
        <v>74</v>
      </c>
      <c r="BB559">
        <v>29765</v>
      </c>
      <c r="BC559">
        <v>29777</v>
      </c>
      <c r="BD559" t="s">
        <v>74</v>
      </c>
      <c r="BE559" t="s">
        <v>6862</v>
      </c>
      <c r="BF559" t="str">
        <f>HYPERLINK("http://dx.doi.org/10.1029/97JD01862","http://dx.doi.org/10.1029/97JD01862")</f>
        <v>http://dx.doi.org/10.1029/97JD01862</v>
      </c>
      <c r="BG559" t="s">
        <v>74</v>
      </c>
      <c r="BH559" t="s">
        <v>74</v>
      </c>
      <c r="BI559">
        <v>13</v>
      </c>
      <c r="BJ559" t="s">
        <v>635</v>
      </c>
      <c r="BK559" t="s">
        <v>98</v>
      </c>
      <c r="BL559" t="s">
        <v>635</v>
      </c>
      <c r="BM559" t="s">
        <v>6863</v>
      </c>
      <c r="BN559" t="s">
        <v>74</v>
      </c>
      <c r="BO559" t="s">
        <v>74</v>
      </c>
      <c r="BP559" t="s">
        <v>74</v>
      </c>
      <c r="BQ559" t="s">
        <v>74</v>
      </c>
      <c r="BR559" t="s">
        <v>101</v>
      </c>
      <c r="BS559" t="s">
        <v>6864</v>
      </c>
      <c r="BT559" t="str">
        <f>HYPERLINK("https%3A%2F%2Fwww.webofscience.com%2Fwos%2Fwoscc%2Ffull-record%2FWOS:000071277300002","View Full Record in Web of Science")</f>
        <v>View Full Record in Web of Science</v>
      </c>
    </row>
    <row r="560" spans="1:72" x14ac:dyDescent="0.15">
      <c r="A560" t="s">
        <v>72</v>
      </c>
      <c r="B560" t="s">
        <v>6865</v>
      </c>
      <c r="C560" t="s">
        <v>74</v>
      </c>
      <c r="D560" t="s">
        <v>74</v>
      </c>
      <c r="E560" t="s">
        <v>74</v>
      </c>
      <c r="F560" t="s">
        <v>6865</v>
      </c>
      <c r="G560" t="s">
        <v>74</v>
      </c>
      <c r="H560" t="s">
        <v>74</v>
      </c>
      <c r="I560" t="s">
        <v>6866</v>
      </c>
      <c r="J560" t="s">
        <v>994</v>
      </c>
      <c r="K560" t="s">
        <v>74</v>
      </c>
      <c r="L560" t="s">
        <v>74</v>
      </c>
      <c r="M560" t="s">
        <v>77</v>
      </c>
      <c r="N560" t="s">
        <v>78</v>
      </c>
      <c r="O560" t="s">
        <v>74</v>
      </c>
      <c r="P560" t="s">
        <v>74</v>
      </c>
      <c r="Q560" t="s">
        <v>74</v>
      </c>
      <c r="R560" t="s">
        <v>74</v>
      </c>
      <c r="S560" t="s">
        <v>74</v>
      </c>
      <c r="T560" t="s">
        <v>74</v>
      </c>
      <c r="U560" t="s">
        <v>6867</v>
      </c>
      <c r="V560" t="s">
        <v>6868</v>
      </c>
      <c r="W560" t="s">
        <v>4793</v>
      </c>
      <c r="X560" t="s">
        <v>4794</v>
      </c>
      <c r="Y560" t="s">
        <v>6869</v>
      </c>
      <c r="Z560" t="s">
        <v>6870</v>
      </c>
      <c r="AA560" t="s">
        <v>74</v>
      </c>
      <c r="AB560" t="s">
        <v>6871</v>
      </c>
      <c r="AC560" t="s">
        <v>74</v>
      </c>
      <c r="AD560" t="s">
        <v>74</v>
      </c>
      <c r="AE560" t="s">
        <v>74</v>
      </c>
      <c r="AF560" t="s">
        <v>74</v>
      </c>
      <c r="AG560">
        <v>25</v>
      </c>
      <c r="AH560">
        <v>63</v>
      </c>
      <c r="AI560">
        <v>70</v>
      </c>
      <c r="AJ560">
        <v>0</v>
      </c>
      <c r="AK560">
        <v>5</v>
      </c>
      <c r="AL560" t="s">
        <v>87</v>
      </c>
      <c r="AM560" t="s">
        <v>88</v>
      </c>
      <c r="AN560" t="s">
        <v>89</v>
      </c>
      <c r="AO560" t="s">
        <v>1001</v>
      </c>
      <c r="AP560" t="s">
        <v>2036</v>
      </c>
      <c r="AQ560" t="s">
        <v>74</v>
      </c>
      <c r="AR560" t="s">
        <v>1002</v>
      </c>
      <c r="AS560" t="s">
        <v>1003</v>
      </c>
      <c r="AT560" t="s">
        <v>6860</v>
      </c>
      <c r="AU560">
        <v>1997</v>
      </c>
      <c r="AV560">
        <v>102</v>
      </c>
      <c r="AW560" t="s">
        <v>6861</v>
      </c>
      <c r="AX560" t="s">
        <v>74</v>
      </c>
      <c r="AY560" t="s">
        <v>74</v>
      </c>
      <c r="AZ560" t="s">
        <v>74</v>
      </c>
      <c r="BA560" t="s">
        <v>74</v>
      </c>
      <c r="BB560">
        <v>30069</v>
      </c>
      <c r="BC560">
        <v>30083</v>
      </c>
      <c r="BD560" t="s">
        <v>74</v>
      </c>
      <c r="BE560" t="s">
        <v>6872</v>
      </c>
      <c r="BF560" t="str">
        <f>HYPERLINK("http://dx.doi.org/10.1029/97JD02653","http://dx.doi.org/10.1029/97JD02653")</f>
        <v>http://dx.doi.org/10.1029/97JD02653</v>
      </c>
      <c r="BG560" t="s">
        <v>74</v>
      </c>
      <c r="BH560" t="s">
        <v>74</v>
      </c>
      <c r="BI560">
        <v>15</v>
      </c>
      <c r="BJ560" t="s">
        <v>635</v>
      </c>
      <c r="BK560" t="s">
        <v>98</v>
      </c>
      <c r="BL560" t="s">
        <v>635</v>
      </c>
      <c r="BM560" t="s">
        <v>6863</v>
      </c>
      <c r="BN560" t="s">
        <v>74</v>
      </c>
      <c r="BO560" t="s">
        <v>100</v>
      </c>
      <c r="BP560" t="s">
        <v>74</v>
      </c>
      <c r="BQ560" t="s">
        <v>74</v>
      </c>
      <c r="BR560" t="s">
        <v>101</v>
      </c>
      <c r="BS560" t="s">
        <v>6873</v>
      </c>
      <c r="BT560" t="str">
        <f>HYPERLINK("https%3A%2F%2Fwww.webofscience.com%2Fwos%2Fwoscc%2Ffull-record%2FWOS:000071277300026","View Full Record in Web of Science")</f>
        <v>View Full Record in Web of Science</v>
      </c>
    </row>
    <row r="561" spans="1:72" x14ac:dyDescent="0.15">
      <c r="A561" t="s">
        <v>72</v>
      </c>
      <c r="B561" t="s">
        <v>6874</v>
      </c>
      <c r="C561" t="s">
        <v>74</v>
      </c>
      <c r="D561" t="s">
        <v>74</v>
      </c>
      <c r="E561" t="s">
        <v>74</v>
      </c>
      <c r="F561" t="s">
        <v>6874</v>
      </c>
      <c r="G561" t="s">
        <v>74</v>
      </c>
      <c r="H561" t="s">
        <v>74</v>
      </c>
      <c r="I561" t="s">
        <v>6875</v>
      </c>
      <c r="J561" t="s">
        <v>994</v>
      </c>
      <c r="K561" t="s">
        <v>74</v>
      </c>
      <c r="L561" t="s">
        <v>74</v>
      </c>
      <c r="M561" t="s">
        <v>77</v>
      </c>
      <c r="N561" t="s">
        <v>371</v>
      </c>
      <c r="O561" t="s">
        <v>74</v>
      </c>
      <c r="P561" t="s">
        <v>74</v>
      </c>
      <c r="Q561" t="s">
        <v>74</v>
      </c>
      <c r="R561" t="s">
        <v>74</v>
      </c>
      <c r="S561" t="s">
        <v>74</v>
      </c>
      <c r="T561" t="s">
        <v>74</v>
      </c>
      <c r="U561" t="s">
        <v>74</v>
      </c>
      <c r="V561" t="s">
        <v>74</v>
      </c>
      <c r="W561" t="s">
        <v>3141</v>
      </c>
      <c r="X561" t="s">
        <v>672</v>
      </c>
      <c r="Y561" t="s">
        <v>6876</v>
      </c>
      <c r="Z561" t="s">
        <v>74</v>
      </c>
      <c r="AA561" t="s">
        <v>6877</v>
      </c>
      <c r="AB561" t="s">
        <v>74</v>
      </c>
      <c r="AC561" t="s">
        <v>74</v>
      </c>
      <c r="AD561" t="s">
        <v>74</v>
      </c>
      <c r="AE561" t="s">
        <v>74</v>
      </c>
      <c r="AF561" t="s">
        <v>74</v>
      </c>
      <c r="AG561">
        <v>1</v>
      </c>
      <c r="AH561">
        <v>2</v>
      </c>
      <c r="AI561">
        <v>2</v>
      </c>
      <c r="AJ561">
        <v>0</v>
      </c>
      <c r="AK561">
        <v>3</v>
      </c>
      <c r="AL561" t="s">
        <v>87</v>
      </c>
      <c r="AM561" t="s">
        <v>88</v>
      </c>
      <c r="AN561" t="s">
        <v>89</v>
      </c>
      <c r="AO561" t="s">
        <v>1001</v>
      </c>
      <c r="AP561" t="s">
        <v>74</v>
      </c>
      <c r="AQ561" t="s">
        <v>74</v>
      </c>
      <c r="AR561" t="s">
        <v>1002</v>
      </c>
      <c r="AS561" t="s">
        <v>1003</v>
      </c>
      <c r="AT561" t="s">
        <v>6860</v>
      </c>
      <c r="AU561">
        <v>1997</v>
      </c>
      <c r="AV561">
        <v>102</v>
      </c>
      <c r="AW561" t="s">
        <v>6861</v>
      </c>
      <c r="AX561" t="s">
        <v>74</v>
      </c>
      <c r="AY561" t="s">
        <v>74</v>
      </c>
      <c r="AZ561" t="s">
        <v>74</v>
      </c>
      <c r="BA561" t="s">
        <v>74</v>
      </c>
      <c r="BB561">
        <v>30165</v>
      </c>
      <c r="BC561">
        <v>30165</v>
      </c>
      <c r="BD561" t="s">
        <v>74</v>
      </c>
      <c r="BE561" t="s">
        <v>6878</v>
      </c>
      <c r="BF561" t="str">
        <f>HYPERLINK("http://dx.doi.org/10.1029/97JD02336","http://dx.doi.org/10.1029/97JD02336")</f>
        <v>http://dx.doi.org/10.1029/97JD02336</v>
      </c>
      <c r="BG561" t="s">
        <v>74</v>
      </c>
      <c r="BH561" t="s">
        <v>74</v>
      </c>
      <c r="BI561">
        <v>1</v>
      </c>
      <c r="BJ561" t="s">
        <v>635</v>
      </c>
      <c r="BK561" t="s">
        <v>98</v>
      </c>
      <c r="BL561" t="s">
        <v>635</v>
      </c>
      <c r="BM561" t="s">
        <v>6863</v>
      </c>
      <c r="BN561" t="s">
        <v>74</v>
      </c>
      <c r="BO561" t="s">
        <v>100</v>
      </c>
      <c r="BP561" t="s">
        <v>74</v>
      </c>
      <c r="BQ561" t="s">
        <v>74</v>
      </c>
      <c r="BR561" t="s">
        <v>101</v>
      </c>
      <c r="BS561" t="s">
        <v>6879</v>
      </c>
      <c r="BT561" t="str">
        <f>HYPERLINK("https%3A%2F%2Fwww.webofscience.com%2Fwos%2Fwoscc%2Ffull-record%2FWOS:000071277300035","View Full Record in Web of Science")</f>
        <v>View Full Record in Web of Science</v>
      </c>
    </row>
    <row r="562" spans="1:72" x14ac:dyDescent="0.15">
      <c r="A562" t="s">
        <v>72</v>
      </c>
      <c r="B562" t="s">
        <v>6880</v>
      </c>
      <c r="C562" t="s">
        <v>74</v>
      </c>
      <c r="D562" t="s">
        <v>74</v>
      </c>
      <c r="E562" t="s">
        <v>74</v>
      </c>
      <c r="F562" t="s">
        <v>6880</v>
      </c>
      <c r="G562" t="s">
        <v>74</v>
      </c>
      <c r="H562" t="s">
        <v>74</v>
      </c>
      <c r="I562" t="s">
        <v>6881</v>
      </c>
      <c r="J562" t="s">
        <v>6882</v>
      </c>
      <c r="K562" t="s">
        <v>74</v>
      </c>
      <c r="L562" t="s">
        <v>74</v>
      </c>
      <c r="M562" t="s">
        <v>77</v>
      </c>
      <c r="N562" t="s">
        <v>78</v>
      </c>
      <c r="O562" t="s">
        <v>74</v>
      </c>
      <c r="P562" t="s">
        <v>74</v>
      </c>
      <c r="Q562" t="s">
        <v>74</v>
      </c>
      <c r="R562" t="s">
        <v>74</v>
      </c>
      <c r="S562" t="s">
        <v>74</v>
      </c>
      <c r="T562" t="s">
        <v>74</v>
      </c>
      <c r="U562" t="s">
        <v>6883</v>
      </c>
      <c r="V562" t="s">
        <v>6884</v>
      </c>
      <c r="W562" t="s">
        <v>6885</v>
      </c>
      <c r="X562" t="s">
        <v>6886</v>
      </c>
      <c r="Y562" t="s">
        <v>6887</v>
      </c>
      <c r="Z562" t="s">
        <v>74</v>
      </c>
      <c r="AA562" t="s">
        <v>74</v>
      </c>
      <c r="AB562" t="s">
        <v>6888</v>
      </c>
      <c r="AC562" t="s">
        <v>74</v>
      </c>
      <c r="AD562" t="s">
        <v>74</v>
      </c>
      <c r="AE562" t="s">
        <v>74</v>
      </c>
      <c r="AF562" t="s">
        <v>74</v>
      </c>
      <c r="AG562">
        <v>26</v>
      </c>
      <c r="AH562">
        <v>13</v>
      </c>
      <c r="AI562">
        <v>13</v>
      </c>
      <c r="AJ562">
        <v>0</v>
      </c>
      <c r="AK562">
        <v>3</v>
      </c>
      <c r="AL562" t="s">
        <v>1029</v>
      </c>
      <c r="AM562" t="s">
        <v>1030</v>
      </c>
      <c r="AN562" t="s">
        <v>1031</v>
      </c>
      <c r="AO562" t="s">
        <v>6889</v>
      </c>
      <c r="AP562" t="s">
        <v>74</v>
      </c>
      <c r="AQ562" t="s">
        <v>74</v>
      </c>
      <c r="AR562" t="s">
        <v>6890</v>
      </c>
      <c r="AS562" t="s">
        <v>6891</v>
      </c>
      <c r="AT562" t="s">
        <v>6892</v>
      </c>
      <c r="AU562">
        <v>1997</v>
      </c>
      <c r="AV562">
        <v>281</v>
      </c>
      <c r="AW562" t="s">
        <v>6893</v>
      </c>
      <c r="AX562" t="s">
        <v>74</v>
      </c>
      <c r="AY562" t="s">
        <v>74</v>
      </c>
      <c r="AZ562" t="s">
        <v>74</v>
      </c>
      <c r="BA562" t="s">
        <v>74</v>
      </c>
      <c r="BB562">
        <v>407</v>
      </c>
      <c r="BC562">
        <v>412</v>
      </c>
      <c r="BD562" t="s">
        <v>74</v>
      </c>
      <c r="BE562" t="s">
        <v>6894</v>
      </c>
      <c r="BF562" t="str">
        <f>HYPERLINK("http://dx.doi.org/10.1016/S0009-2614(97)01250-5","http://dx.doi.org/10.1016/S0009-2614(97)01250-5")</f>
        <v>http://dx.doi.org/10.1016/S0009-2614(97)01250-5</v>
      </c>
      <c r="BG562" t="s">
        <v>74</v>
      </c>
      <c r="BH562" t="s">
        <v>74</v>
      </c>
      <c r="BI562">
        <v>6</v>
      </c>
      <c r="BJ562" t="s">
        <v>1052</v>
      </c>
      <c r="BK562" t="s">
        <v>98</v>
      </c>
      <c r="BL562" t="s">
        <v>1053</v>
      </c>
      <c r="BM562" t="s">
        <v>6895</v>
      </c>
      <c r="BN562" t="s">
        <v>74</v>
      </c>
      <c r="BO562" t="s">
        <v>74</v>
      </c>
      <c r="BP562" t="s">
        <v>74</v>
      </c>
      <c r="BQ562" t="s">
        <v>74</v>
      </c>
      <c r="BR562" t="s">
        <v>101</v>
      </c>
      <c r="BS562" t="s">
        <v>6896</v>
      </c>
      <c r="BT562" t="str">
        <f>HYPERLINK("https%3A%2F%2Fwww.webofscience.com%2Fwos%2Fwoscc%2Ffull-record%2FWOS:000072254400027","View Full Record in Web of Science")</f>
        <v>View Full Record in Web of Science</v>
      </c>
    </row>
    <row r="563" spans="1:72" x14ac:dyDescent="0.15">
      <c r="A563" t="s">
        <v>72</v>
      </c>
      <c r="B563" t="s">
        <v>6897</v>
      </c>
      <c r="C563" t="s">
        <v>74</v>
      </c>
      <c r="D563" t="s">
        <v>74</v>
      </c>
      <c r="E563" t="s">
        <v>74</v>
      </c>
      <c r="F563" t="s">
        <v>6897</v>
      </c>
      <c r="G563" t="s">
        <v>74</v>
      </c>
      <c r="H563" t="s">
        <v>74</v>
      </c>
      <c r="I563" t="s">
        <v>6898</v>
      </c>
      <c r="J563" t="s">
        <v>994</v>
      </c>
      <c r="K563" t="s">
        <v>74</v>
      </c>
      <c r="L563" t="s">
        <v>74</v>
      </c>
      <c r="M563" t="s">
        <v>77</v>
      </c>
      <c r="N563" t="s">
        <v>78</v>
      </c>
      <c r="O563" t="s">
        <v>74</v>
      </c>
      <c r="P563" t="s">
        <v>74</v>
      </c>
      <c r="Q563" t="s">
        <v>74</v>
      </c>
      <c r="R563" t="s">
        <v>74</v>
      </c>
      <c r="S563" t="s">
        <v>74</v>
      </c>
      <c r="T563" t="s">
        <v>74</v>
      </c>
      <c r="U563" t="s">
        <v>6899</v>
      </c>
      <c r="V563" t="s">
        <v>6900</v>
      </c>
      <c r="W563" t="s">
        <v>6901</v>
      </c>
      <c r="X563" t="s">
        <v>6902</v>
      </c>
      <c r="Y563" t="s">
        <v>6903</v>
      </c>
      <c r="Z563" t="s">
        <v>6904</v>
      </c>
      <c r="AA563" t="s">
        <v>6905</v>
      </c>
      <c r="AB563" t="s">
        <v>6906</v>
      </c>
      <c r="AC563" t="s">
        <v>74</v>
      </c>
      <c r="AD563" t="s">
        <v>74</v>
      </c>
      <c r="AE563" t="s">
        <v>74</v>
      </c>
      <c r="AF563" t="s">
        <v>74</v>
      </c>
      <c r="AG563">
        <v>35</v>
      </c>
      <c r="AH563">
        <v>16</v>
      </c>
      <c r="AI563">
        <v>16</v>
      </c>
      <c r="AJ563">
        <v>0</v>
      </c>
      <c r="AK563">
        <v>1</v>
      </c>
      <c r="AL563" t="s">
        <v>87</v>
      </c>
      <c r="AM563" t="s">
        <v>88</v>
      </c>
      <c r="AN563" t="s">
        <v>89</v>
      </c>
      <c r="AO563" t="s">
        <v>1001</v>
      </c>
      <c r="AP563" t="s">
        <v>2036</v>
      </c>
      <c r="AQ563" t="s">
        <v>74</v>
      </c>
      <c r="AR563" t="s">
        <v>1002</v>
      </c>
      <c r="AS563" t="s">
        <v>1003</v>
      </c>
      <c r="AT563" t="s">
        <v>6907</v>
      </c>
      <c r="AU563">
        <v>1997</v>
      </c>
      <c r="AV563">
        <v>102</v>
      </c>
      <c r="AW563" t="s">
        <v>6908</v>
      </c>
      <c r="AX563" t="s">
        <v>74</v>
      </c>
      <c r="AY563" t="s">
        <v>74</v>
      </c>
      <c r="AZ563" t="s">
        <v>74</v>
      </c>
      <c r="BA563" t="s">
        <v>74</v>
      </c>
      <c r="BB563">
        <v>28185</v>
      </c>
      <c r="BC563">
        <v>28193</v>
      </c>
      <c r="BD563" t="s">
        <v>74</v>
      </c>
      <c r="BE563" t="s">
        <v>6909</v>
      </c>
      <c r="BF563" t="str">
        <f>HYPERLINK("http://dx.doi.org/10.1029/97JD02464","http://dx.doi.org/10.1029/97JD02464")</f>
        <v>http://dx.doi.org/10.1029/97JD02464</v>
      </c>
      <c r="BG563" t="s">
        <v>74</v>
      </c>
      <c r="BH563" t="s">
        <v>74</v>
      </c>
      <c r="BI563">
        <v>9</v>
      </c>
      <c r="BJ563" t="s">
        <v>635</v>
      </c>
      <c r="BK563" t="s">
        <v>98</v>
      </c>
      <c r="BL563" t="s">
        <v>635</v>
      </c>
      <c r="BM563" t="s">
        <v>6910</v>
      </c>
      <c r="BN563" t="s">
        <v>74</v>
      </c>
      <c r="BO563" t="s">
        <v>100</v>
      </c>
      <c r="BP563" t="s">
        <v>74</v>
      </c>
      <c r="BQ563" t="s">
        <v>74</v>
      </c>
      <c r="BR563" t="s">
        <v>101</v>
      </c>
      <c r="BS563" t="s">
        <v>6911</v>
      </c>
      <c r="BT563" t="str">
        <f>HYPERLINK("https%3A%2F%2Fwww.webofscience.com%2Fwos%2Fwoscc%2Ffull-record%2FWOS:000071162700016","View Full Record in Web of Science")</f>
        <v>View Full Record in Web of Science</v>
      </c>
    </row>
    <row r="564" spans="1:72" x14ac:dyDescent="0.15">
      <c r="A564" t="s">
        <v>72</v>
      </c>
      <c r="B564" t="s">
        <v>6912</v>
      </c>
      <c r="C564" t="s">
        <v>74</v>
      </c>
      <c r="D564" t="s">
        <v>74</v>
      </c>
      <c r="E564" t="s">
        <v>74</v>
      </c>
      <c r="F564" t="s">
        <v>6912</v>
      </c>
      <c r="G564" t="s">
        <v>74</v>
      </c>
      <c r="H564" t="s">
        <v>74</v>
      </c>
      <c r="I564" t="s">
        <v>6913</v>
      </c>
      <c r="J564" t="s">
        <v>994</v>
      </c>
      <c r="K564" t="s">
        <v>74</v>
      </c>
      <c r="L564" t="s">
        <v>74</v>
      </c>
      <c r="M564" t="s">
        <v>77</v>
      </c>
      <c r="N564" t="s">
        <v>212</v>
      </c>
      <c r="O564" t="s">
        <v>74</v>
      </c>
      <c r="P564" t="s">
        <v>74</v>
      </c>
      <c r="Q564" t="s">
        <v>74</v>
      </c>
      <c r="R564" t="s">
        <v>74</v>
      </c>
      <c r="S564" t="s">
        <v>74</v>
      </c>
      <c r="T564" t="s">
        <v>74</v>
      </c>
      <c r="U564" t="s">
        <v>6914</v>
      </c>
      <c r="V564" t="s">
        <v>74</v>
      </c>
      <c r="W564" t="s">
        <v>6915</v>
      </c>
      <c r="X564" t="s">
        <v>6916</v>
      </c>
      <c r="Y564" t="s">
        <v>6917</v>
      </c>
      <c r="Z564" t="s">
        <v>74</v>
      </c>
      <c r="AA564" t="s">
        <v>6918</v>
      </c>
      <c r="AB564" t="s">
        <v>6919</v>
      </c>
      <c r="AC564" t="s">
        <v>74</v>
      </c>
      <c r="AD564" t="s">
        <v>74</v>
      </c>
      <c r="AE564" t="s">
        <v>74</v>
      </c>
      <c r="AF564" t="s">
        <v>74</v>
      </c>
      <c r="AG564">
        <v>22</v>
      </c>
      <c r="AH564">
        <v>10</v>
      </c>
      <c r="AI564">
        <v>11</v>
      </c>
      <c r="AJ564">
        <v>0</v>
      </c>
      <c r="AK564">
        <v>1</v>
      </c>
      <c r="AL564" t="s">
        <v>87</v>
      </c>
      <c r="AM564" t="s">
        <v>88</v>
      </c>
      <c r="AN564" t="s">
        <v>89</v>
      </c>
      <c r="AO564" t="s">
        <v>1001</v>
      </c>
      <c r="AP564" t="s">
        <v>74</v>
      </c>
      <c r="AQ564" t="s">
        <v>74</v>
      </c>
      <c r="AR564" t="s">
        <v>1002</v>
      </c>
      <c r="AS564" t="s">
        <v>1003</v>
      </c>
      <c r="AT564" t="s">
        <v>6907</v>
      </c>
      <c r="AU564">
        <v>1997</v>
      </c>
      <c r="AV564">
        <v>102</v>
      </c>
      <c r="AW564" t="s">
        <v>6908</v>
      </c>
      <c r="AX564" t="s">
        <v>74</v>
      </c>
      <c r="AY564" t="s">
        <v>74</v>
      </c>
      <c r="AZ564" t="s">
        <v>74</v>
      </c>
      <c r="BA564" t="s">
        <v>74</v>
      </c>
      <c r="BB564">
        <v>28215</v>
      </c>
      <c r="BC564">
        <v>28218</v>
      </c>
      <c r="BD564" t="s">
        <v>74</v>
      </c>
      <c r="BE564" t="s">
        <v>6920</v>
      </c>
      <c r="BF564" t="str">
        <f>HYPERLINK("http://dx.doi.org/10.1029/97JD02845","http://dx.doi.org/10.1029/97JD02845")</f>
        <v>http://dx.doi.org/10.1029/97JD02845</v>
      </c>
      <c r="BG564" t="s">
        <v>74</v>
      </c>
      <c r="BH564" t="s">
        <v>74</v>
      </c>
      <c r="BI564">
        <v>4</v>
      </c>
      <c r="BJ564" t="s">
        <v>635</v>
      </c>
      <c r="BK564" t="s">
        <v>98</v>
      </c>
      <c r="BL564" t="s">
        <v>635</v>
      </c>
      <c r="BM564" t="s">
        <v>6910</v>
      </c>
      <c r="BN564" t="s">
        <v>74</v>
      </c>
      <c r="BO564" t="s">
        <v>100</v>
      </c>
      <c r="BP564" t="s">
        <v>74</v>
      </c>
      <c r="BQ564" t="s">
        <v>74</v>
      </c>
      <c r="BR564" t="s">
        <v>101</v>
      </c>
      <c r="BS564" t="s">
        <v>6921</v>
      </c>
      <c r="BT564" t="str">
        <f>HYPERLINK("https%3A%2F%2Fwww.webofscience.com%2Fwos%2Fwoscc%2Ffull-record%2FWOS:000071162700019","View Full Record in Web of Science")</f>
        <v>View Full Record in Web of Science</v>
      </c>
    </row>
    <row r="565" spans="1:72" x14ac:dyDescent="0.15">
      <c r="A565" t="s">
        <v>72</v>
      </c>
      <c r="B565" t="s">
        <v>6922</v>
      </c>
      <c r="C565" t="s">
        <v>74</v>
      </c>
      <c r="D565" t="s">
        <v>74</v>
      </c>
      <c r="E565" t="s">
        <v>74</v>
      </c>
      <c r="F565" t="s">
        <v>6922</v>
      </c>
      <c r="G565" t="s">
        <v>74</v>
      </c>
      <c r="H565" t="s">
        <v>74</v>
      </c>
      <c r="I565" t="s">
        <v>6923</v>
      </c>
      <c r="J565" t="s">
        <v>994</v>
      </c>
      <c r="K565" t="s">
        <v>74</v>
      </c>
      <c r="L565" t="s">
        <v>74</v>
      </c>
      <c r="M565" t="s">
        <v>77</v>
      </c>
      <c r="N565" t="s">
        <v>212</v>
      </c>
      <c r="O565" t="s">
        <v>74</v>
      </c>
      <c r="P565" t="s">
        <v>74</v>
      </c>
      <c r="Q565" t="s">
        <v>74</v>
      </c>
      <c r="R565" t="s">
        <v>74</v>
      </c>
      <c r="S565" t="s">
        <v>74</v>
      </c>
      <c r="T565" t="s">
        <v>74</v>
      </c>
      <c r="U565" t="s">
        <v>74</v>
      </c>
      <c r="V565" t="s">
        <v>74</v>
      </c>
      <c r="W565" t="s">
        <v>6924</v>
      </c>
      <c r="X565" t="s">
        <v>6925</v>
      </c>
      <c r="Y565" t="s">
        <v>6926</v>
      </c>
      <c r="Z565" t="s">
        <v>6927</v>
      </c>
      <c r="AA565" t="s">
        <v>74</v>
      </c>
      <c r="AB565" t="s">
        <v>74</v>
      </c>
      <c r="AC565" t="s">
        <v>74</v>
      </c>
      <c r="AD565" t="s">
        <v>74</v>
      </c>
      <c r="AE565" t="s">
        <v>74</v>
      </c>
      <c r="AF565" t="s">
        <v>74</v>
      </c>
      <c r="AG565">
        <v>6</v>
      </c>
      <c r="AH565">
        <v>1</v>
      </c>
      <c r="AI565">
        <v>1</v>
      </c>
      <c r="AJ565">
        <v>0</v>
      </c>
      <c r="AK565">
        <v>1</v>
      </c>
      <c r="AL565" t="s">
        <v>87</v>
      </c>
      <c r="AM565" t="s">
        <v>88</v>
      </c>
      <c r="AN565" t="s">
        <v>89</v>
      </c>
      <c r="AO565" t="s">
        <v>1001</v>
      </c>
      <c r="AP565" t="s">
        <v>2036</v>
      </c>
      <c r="AQ565" t="s">
        <v>74</v>
      </c>
      <c r="AR565" t="s">
        <v>1002</v>
      </c>
      <c r="AS565" t="s">
        <v>1003</v>
      </c>
      <c r="AT565" t="s">
        <v>6907</v>
      </c>
      <c r="AU565">
        <v>1997</v>
      </c>
      <c r="AV565">
        <v>102</v>
      </c>
      <c r="AW565" t="s">
        <v>6908</v>
      </c>
      <c r="AX565" t="s">
        <v>74</v>
      </c>
      <c r="AY565" t="s">
        <v>74</v>
      </c>
      <c r="AZ565" t="s">
        <v>74</v>
      </c>
      <c r="BA565" t="s">
        <v>74</v>
      </c>
      <c r="BB565">
        <v>28219</v>
      </c>
      <c r="BC565">
        <v>28221</v>
      </c>
      <c r="BD565" t="s">
        <v>74</v>
      </c>
      <c r="BE565" t="s">
        <v>6928</v>
      </c>
      <c r="BF565" t="str">
        <f>HYPERLINK("http://dx.doi.org/10.1029/97JD02846","http://dx.doi.org/10.1029/97JD02846")</f>
        <v>http://dx.doi.org/10.1029/97JD02846</v>
      </c>
      <c r="BG565" t="s">
        <v>74</v>
      </c>
      <c r="BH565" t="s">
        <v>74</v>
      </c>
      <c r="BI565">
        <v>3</v>
      </c>
      <c r="BJ565" t="s">
        <v>635</v>
      </c>
      <c r="BK565" t="s">
        <v>98</v>
      </c>
      <c r="BL565" t="s">
        <v>635</v>
      </c>
      <c r="BM565" t="s">
        <v>6910</v>
      </c>
      <c r="BN565" t="s">
        <v>74</v>
      </c>
      <c r="BO565" t="s">
        <v>100</v>
      </c>
      <c r="BP565" t="s">
        <v>74</v>
      </c>
      <c r="BQ565" t="s">
        <v>74</v>
      </c>
      <c r="BR565" t="s">
        <v>101</v>
      </c>
      <c r="BS565" t="s">
        <v>6929</v>
      </c>
      <c r="BT565" t="str">
        <f>HYPERLINK("https%3A%2F%2Fwww.webofscience.com%2Fwos%2Fwoscc%2Ffull-record%2FWOS:000071162700020","View Full Record in Web of Science")</f>
        <v>View Full Record in Web of Science</v>
      </c>
    </row>
    <row r="566" spans="1:72" x14ac:dyDescent="0.15">
      <c r="A566" t="s">
        <v>72</v>
      </c>
      <c r="B566" t="s">
        <v>6930</v>
      </c>
      <c r="C566" t="s">
        <v>74</v>
      </c>
      <c r="D566" t="s">
        <v>74</v>
      </c>
      <c r="E566" t="s">
        <v>74</v>
      </c>
      <c r="F566" t="s">
        <v>6930</v>
      </c>
      <c r="G566" t="s">
        <v>74</v>
      </c>
      <c r="H566" t="s">
        <v>74</v>
      </c>
      <c r="I566" t="s">
        <v>6931</v>
      </c>
      <c r="J566" t="s">
        <v>1581</v>
      </c>
      <c r="K566" t="s">
        <v>74</v>
      </c>
      <c r="L566" t="s">
        <v>74</v>
      </c>
      <c r="M566" t="s">
        <v>77</v>
      </c>
      <c r="N566" t="s">
        <v>78</v>
      </c>
      <c r="O566" t="s">
        <v>74</v>
      </c>
      <c r="P566" t="s">
        <v>74</v>
      </c>
      <c r="Q566" t="s">
        <v>74</v>
      </c>
      <c r="R566" t="s">
        <v>74</v>
      </c>
      <c r="S566" t="s">
        <v>74</v>
      </c>
      <c r="T566" t="s">
        <v>74</v>
      </c>
      <c r="U566" t="s">
        <v>6932</v>
      </c>
      <c r="V566" t="s">
        <v>6933</v>
      </c>
      <c r="W566" t="s">
        <v>6934</v>
      </c>
      <c r="X566" t="s">
        <v>6935</v>
      </c>
      <c r="Y566" t="s">
        <v>6936</v>
      </c>
      <c r="Z566" t="s">
        <v>74</v>
      </c>
      <c r="AA566" t="s">
        <v>6937</v>
      </c>
      <c r="AB566" t="s">
        <v>6938</v>
      </c>
      <c r="AC566" t="s">
        <v>74</v>
      </c>
      <c r="AD566" t="s">
        <v>74</v>
      </c>
      <c r="AE566" t="s">
        <v>74</v>
      </c>
      <c r="AF566" t="s">
        <v>74</v>
      </c>
      <c r="AG566">
        <v>12</v>
      </c>
      <c r="AH566">
        <v>10</v>
      </c>
      <c r="AI566">
        <v>10</v>
      </c>
      <c r="AJ566">
        <v>0</v>
      </c>
      <c r="AK566">
        <v>4</v>
      </c>
      <c r="AL566" t="s">
        <v>87</v>
      </c>
      <c r="AM566" t="s">
        <v>88</v>
      </c>
      <c r="AN566" t="s">
        <v>89</v>
      </c>
      <c r="AO566" t="s">
        <v>1589</v>
      </c>
      <c r="AP566" t="s">
        <v>74</v>
      </c>
      <c r="AQ566" t="s">
        <v>74</v>
      </c>
      <c r="AR566" t="s">
        <v>1590</v>
      </c>
      <c r="AS566" t="s">
        <v>1591</v>
      </c>
      <c r="AT566" t="s">
        <v>6939</v>
      </c>
      <c r="AU566">
        <v>1997</v>
      </c>
      <c r="AV566">
        <v>24</v>
      </c>
      <c r="AW566">
        <v>24</v>
      </c>
      <c r="AX566" t="s">
        <v>74</v>
      </c>
      <c r="AY566" t="s">
        <v>74</v>
      </c>
      <c r="AZ566" t="s">
        <v>74</v>
      </c>
      <c r="BA566" t="s">
        <v>74</v>
      </c>
      <c r="BB566">
        <v>3225</v>
      </c>
      <c r="BC566">
        <v>3228</v>
      </c>
      <c r="BD566" t="s">
        <v>74</v>
      </c>
      <c r="BE566" t="s">
        <v>6940</v>
      </c>
      <c r="BF566" t="str">
        <f>HYPERLINK("http://dx.doi.org/10.1029/97GL03313","http://dx.doi.org/10.1029/97GL03313")</f>
        <v>http://dx.doi.org/10.1029/97GL03313</v>
      </c>
      <c r="BG566" t="s">
        <v>74</v>
      </c>
      <c r="BH566" t="s">
        <v>74</v>
      </c>
      <c r="BI566">
        <v>4</v>
      </c>
      <c r="BJ566" t="s">
        <v>769</v>
      </c>
      <c r="BK566" t="s">
        <v>98</v>
      </c>
      <c r="BL566" t="s">
        <v>471</v>
      </c>
      <c r="BM566" t="s">
        <v>6941</v>
      </c>
      <c r="BN566" t="s">
        <v>74</v>
      </c>
      <c r="BO566" t="s">
        <v>74</v>
      </c>
      <c r="BP566" t="s">
        <v>74</v>
      </c>
      <c r="BQ566" t="s">
        <v>74</v>
      </c>
      <c r="BR566" t="s">
        <v>101</v>
      </c>
      <c r="BS566" t="s">
        <v>6942</v>
      </c>
      <c r="BT566" t="str">
        <f>HYPERLINK("https%3A%2F%2Fwww.webofscience.com%2Fwos%2Fwoscc%2Ffull-record%2FWOS:000071222700031","View Full Record in Web of Science")</f>
        <v>View Full Record in Web of Science</v>
      </c>
    </row>
    <row r="567" spans="1:72" x14ac:dyDescent="0.15">
      <c r="A567" t="s">
        <v>72</v>
      </c>
      <c r="B567" t="s">
        <v>6943</v>
      </c>
      <c r="C567" t="s">
        <v>74</v>
      </c>
      <c r="D567" t="s">
        <v>74</v>
      </c>
      <c r="E567" t="s">
        <v>74</v>
      </c>
      <c r="F567" t="s">
        <v>6943</v>
      </c>
      <c r="G567" t="s">
        <v>74</v>
      </c>
      <c r="H567" t="s">
        <v>74</v>
      </c>
      <c r="I567" t="s">
        <v>6944</v>
      </c>
      <c r="J567" t="s">
        <v>76</v>
      </c>
      <c r="K567" t="s">
        <v>74</v>
      </c>
      <c r="L567" t="s">
        <v>74</v>
      </c>
      <c r="M567" t="s">
        <v>77</v>
      </c>
      <c r="N567" t="s">
        <v>78</v>
      </c>
      <c r="O567" t="s">
        <v>74</v>
      </c>
      <c r="P567" t="s">
        <v>74</v>
      </c>
      <c r="Q567" t="s">
        <v>74</v>
      </c>
      <c r="R567" t="s">
        <v>74</v>
      </c>
      <c r="S567" t="s">
        <v>74</v>
      </c>
      <c r="T567" t="s">
        <v>74</v>
      </c>
      <c r="U567" t="s">
        <v>6945</v>
      </c>
      <c r="V567" t="s">
        <v>6946</v>
      </c>
      <c r="W567" t="s">
        <v>6947</v>
      </c>
      <c r="X567" t="s">
        <v>6948</v>
      </c>
      <c r="Y567" t="s">
        <v>6949</v>
      </c>
      <c r="Z567" t="s">
        <v>74</v>
      </c>
      <c r="AA567" t="s">
        <v>6950</v>
      </c>
      <c r="AB567" t="s">
        <v>74</v>
      </c>
      <c r="AC567" t="s">
        <v>74</v>
      </c>
      <c r="AD567" t="s">
        <v>74</v>
      </c>
      <c r="AE567" t="s">
        <v>74</v>
      </c>
      <c r="AF567" t="s">
        <v>74</v>
      </c>
      <c r="AG567">
        <v>38</v>
      </c>
      <c r="AH567">
        <v>82</v>
      </c>
      <c r="AI567">
        <v>90</v>
      </c>
      <c r="AJ567">
        <v>1</v>
      </c>
      <c r="AK567">
        <v>11</v>
      </c>
      <c r="AL567" t="s">
        <v>87</v>
      </c>
      <c r="AM567" t="s">
        <v>88</v>
      </c>
      <c r="AN567" t="s">
        <v>89</v>
      </c>
      <c r="AO567" t="s">
        <v>74</v>
      </c>
      <c r="AP567" t="s">
        <v>74</v>
      </c>
      <c r="AQ567" t="s">
        <v>74</v>
      </c>
      <c r="AR567" t="s">
        <v>92</v>
      </c>
      <c r="AS567" t="s">
        <v>93</v>
      </c>
      <c r="AT567" t="s">
        <v>6939</v>
      </c>
      <c r="AU567">
        <v>1997</v>
      </c>
      <c r="AV567">
        <v>102</v>
      </c>
      <c r="AW567" t="s">
        <v>6951</v>
      </c>
      <c r="AX567" t="s">
        <v>74</v>
      </c>
      <c r="AY567" t="s">
        <v>74</v>
      </c>
      <c r="AZ567" t="s">
        <v>74</v>
      </c>
      <c r="BA567" t="s">
        <v>74</v>
      </c>
      <c r="BB567">
        <v>27825</v>
      </c>
      <c r="BC567">
        <v>27833</v>
      </c>
      <c r="BD567" t="s">
        <v>74</v>
      </c>
      <c r="BE567" t="s">
        <v>6952</v>
      </c>
      <c r="BF567" t="str">
        <f>HYPERLINK("http://dx.doi.org/10.1029/97JC01705","http://dx.doi.org/10.1029/97JC01705")</f>
        <v>http://dx.doi.org/10.1029/97JC01705</v>
      </c>
      <c r="BG567" t="s">
        <v>74</v>
      </c>
      <c r="BH567" t="s">
        <v>74</v>
      </c>
      <c r="BI567">
        <v>9</v>
      </c>
      <c r="BJ567" t="s">
        <v>97</v>
      </c>
      <c r="BK567" t="s">
        <v>98</v>
      </c>
      <c r="BL567" t="s">
        <v>97</v>
      </c>
      <c r="BM567" t="s">
        <v>6953</v>
      </c>
      <c r="BN567" t="s">
        <v>74</v>
      </c>
      <c r="BO567" t="s">
        <v>509</v>
      </c>
      <c r="BP567" t="s">
        <v>74</v>
      </c>
      <c r="BQ567" t="s">
        <v>74</v>
      </c>
      <c r="BR567" t="s">
        <v>101</v>
      </c>
      <c r="BS567" t="s">
        <v>6954</v>
      </c>
      <c r="BT567" t="str">
        <f>HYPERLINK("https%3A%2F%2Fwww.webofscience.com%2Fwos%2Fwoscc%2Ffull-record%2FWOS:000071042500005","View Full Record in Web of Science")</f>
        <v>View Full Record in Web of Science</v>
      </c>
    </row>
    <row r="568" spans="1:72" x14ac:dyDescent="0.15">
      <c r="A568" t="s">
        <v>72</v>
      </c>
      <c r="B568" t="s">
        <v>6955</v>
      </c>
      <c r="C568" t="s">
        <v>74</v>
      </c>
      <c r="D568" t="s">
        <v>74</v>
      </c>
      <c r="E568" t="s">
        <v>74</v>
      </c>
      <c r="F568" t="s">
        <v>6955</v>
      </c>
      <c r="G568" t="s">
        <v>74</v>
      </c>
      <c r="H568" t="s">
        <v>74</v>
      </c>
      <c r="I568" t="s">
        <v>6956</v>
      </c>
      <c r="J568" t="s">
        <v>6957</v>
      </c>
      <c r="K568" t="s">
        <v>74</v>
      </c>
      <c r="L568" t="s">
        <v>74</v>
      </c>
      <c r="M568" t="s">
        <v>77</v>
      </c>
      <c r="N568" t="s">
        <v>78</v>
      </c>
      <c r="O568" t="s">
        <v>74</v>
      </c>
      <c r="P568" t="s">
        <v>74</v>
      </c>
      <c r="Q568" t="s">
        <v>74</v>
      </c>
      <c r="R568" t="s">
        <v>74</v>
      </c>
      <c r="S568" t="s">
        <v>74</v>
      </c>
      <c r="T568" t="s">
        <v>6958</v>
      </c>
      <c r="U568" t="s">
        <v>6959</v>
      </c>
      <c r="V568" t="s">
        <v>6960</v>
      </c>
      <c r="W568" t="s">
        <v>6961</v>
      </c>
      <c r="X568" t="s">
        <v>6962</v>
      </c>
      <c r="Y568" t="s">
        <v>6963</v>
      </c>
      <c r="Z568" t="s">
        <v>74</v>
      </c>
      <c r="AA568" t="s">
        <v>74</v>
      </c>
      <c r="AB568" t="s">
        <v>74</v>
      </c>
      <c r="AC568" t="s">
        <v>74</v>
      </c>
      <c r="AD568" t="s">
        <v>74</v>
      </c>
      <c r="AE568" t="s">
        <v>74</v>
      </c>
      <c r="AF568" t="s">
        <v>74</v>
      </c>
      <c r="AG568">
        <v>65</v>
      </c>
      <c r="AH568">
        <v>45</v>
      </c>
      <c r="AI568">
        <v>48</v>
      </c>
      <c r="AJ568">
        <v>0</v>
      </c>
      <c r="AK568">
        <v>8</v>
      </c>
      <c r="AL568" t="s">
        <v>1029</v>
      </c>
      <c r="AM568" t="s">
        <v>1030</v>
      </c>
      <c r="AN568" t="s">
        <v>1031</v>
      </c>
      <c r="AO568" t="s">
        <v>6964</v>
      </c>
      <c r="AP568" t="s">
        <v>74</v>
      </c>
      <c r="AQ568" t="s">
        <v>74</v>
      </c>
      <c r="AR568" t="s">
        <v>6965</v>
      </c>
      <c r="AS568" t="s">
        <v>6966</v>
      </c>
      <c r="AT568" t="s">
        <v>6939</v>
      </c>
      <c r="AU568">
        <v>1997</v>
      </c>
      <c r="AV568">
        <v>136</v>
      </c>
      <c r="AW568" t="s">
        <v>4183</v>
      </c>
      <c r="AX568" t="s">
        <v>74</v>
      </c>
      <c r="AY568" t="s">
        <v>74</v>
      </c>
      <c r="AZ568" t="s">
        <v>74</v>
      </c>
      <c r="BA568" t="s">
        <v>74</v>
      </c>
      <c r="BB568">
        <v>1</v>
      </c>
      <c r="BC568">
        <v>17</v>
      </c>
      <c r="BD568" t="s">
        <v>74</v>
      </c>
      <c r="BE568" t="s">
        <v>6967</v>
      </c>
      <c r="BF568" t="str">
        <f>HYPERLINK("http://dx.doi.org/10.1016/S0031-0182(97)00094-1","http://dx.doi.org/10.1016/S0031-0182(97)00094-1")</f>
        <v>http://dx.doi.org/10.1016/S0031-0182(97)00094-1</v>
      </c>
      <c r="BG568" t="s">
        <v>74</v>
      </c>
      <c r="BH568" t="s">
        <v>74</v>
      </c>
      <c r="BI568">
        <v>17</v>
      </c>
      <c r="BJ568" t="s">
        <v>6968</v>
      </c>
      <c r="BK568" t="s">
        <v>98</v>
      </c>
      <c r="BL568" t="s">
        <v>6969</v>
      </c>
      <c r="BM568" t="s">
        <v>6970</v>
      </c>
      <c r="BN568" t="s">
        <v>74</v>
      </c>
      <c r="BO568" t="s">
        <v>74</v>
      </c>
      <c r="BP568" t="s">
        <v>74</v>
      </c>
      <c r="BQ568" t="s">
        <v>74</v>
      </c>
      <c r="BR568" t="s">
        <v>101</v>
      </c>
      <c r="BS568" t="s">
        <v>6971</v>
      </c>
      <c r="BT568" t="str">
        <f>HYPERLINK("https%3A%2F%2Fwww.webofscience.com%2Fwos%2Fwoscc%2Ffull-record%2FWOS:A1997YL24100001","View Full Record in Web of Science")</f>
        <v>View Full Record in Web of Science</v>
      </c>
    </row>
    <row r="569" spans="1:72" x14ac:dyDescent="0.15">
      <c r="A569" t="s">
        <v>72</v>
      </c>
      <c r="B569" t="s">
        <v>6972</v>
      </c>
      <c r="C569" t="s">
        <v>74</v>
      </c>
      <c r="D569" t="s">
        <v>74</v>
      </c>
      <c r="E569" t="s">
        <v>74</v>
      </c>
      <c r="F569" t="s">
        <v>6972</v>
      </c>
      <c r="G569" t="s">
        <v>74</v>
      </c>
      <c r="H569" t="s">
        <v>74</v>
      </c>
      <c r="I569" t="s">
        <v>6973</v>
      </c>
      <c r="J569" t="s">
        <v>6974</v>
      </c>
      <c r="K569" t="s">
        <v>74</v>
      </c>
      <c r="L569" t="s">
        <v>74</v>
      </c>
      <c r="M569" t="s">
        <v>77</v>
      </c>
      <c r="N569" t="s">
        <v>78</v>
      </c>
      <c r="O569" t="s">
        <v>74</v>
      </c>
      <c r="P569" t="s">
        <v>74</v>
      </c>
      <c r="Q569" t="s">
        <v>74</v>
      </c>
      <c r="R569" t="s">
        <v>74</v>
      </c>
      <c r="S569" t="s">
        <v>74</v>
      </c>
      <c r="T569" t="s">
        <v>74</v>
      </c>
      <c r="U569" t="s">
        <v>74</v>
      </c>
      <c r="V569" t="s">
        <v>6975</v>
      </c>
      <c r="W569" t="s">
        <v>6976</v>
      </c>
      <c r="X569" t="s">
        <v>6977</v>
      </c>
      <c r="Y569" t="s">
        <v>6978</v>
      </c>
      <c r="Z569" t="s">
        <v>74</v>
      </c>
      <c r="AA569" t="s">
        <v>74</v>
      </c>
      <c r="AB569" t="s">
        <v>74</v>
      </c>
      <c r="AC569" t="s">
        <v>74</v>
      </c>
      <c r="AD569" t="s">
        <v>74</v>
      </c>
      <c r="AE569" t="s">
        <v>74</v>
      </c>
      <c r="AF569" t="s">
        <v>74</v>
      </c>
      <c r="AG569">
        <v>18</v>
      </c>
      <c r="AH569">
        <v>6</v>
      </c>
      <c r="AI569">
        <v>8</v>
      </c>
      <c r="AJ569">
        <v>0</v>
      </c>
      <c r="AK569">
        <v>5</v>
      </c>
      <c r="AL569" t="s">
        <v>6979</v>
      </c>
      <c r="AM569" t="s">
        <v>88</v>
      </c>
      <c r="AN569" t="s">
        <v>6980</v>
      </c>
      <c r="AO569" t="s">
        <v>6981</v>
      </c>
      <c r="AP569" t="s">
        <v>74</v>
      </c>
      <c r="AQ569" t="s">
        <v>74</v>
      </c>
      <c r="AR569" t="s">
        <v>6982</v>
      </c>
      <c r="AS569" t="s">
        <v>6983</v>
      </c>
      <c r="AT569" t="s">
        <v>6984</v>
      </c>
      <c r="AU569">
        <v>1997</v>
      </c>
      <c r="AV569">
        <v>110</v>
      </c>
      <c r="AW569">
        <v>4</v>
      </c>
      <c r="AX569" t="s">
        <v>74</v>
      </c>
      <c r="AY569" t="s">
        <v>74</v>
      </c>
      <c r="AZ569" t="s">
        <v>74</v>
      </c>
      <c r="BA569" t="s">
        <v>74</v>
      </c>
      <c r="BB569">
        <v>537</v>
      </c>
      <c r="BC569">
        <v>551</v>
      </c>
      <c r="BD569" t="s">
        <v>74</v>
      </c>
      <c r="BE569" t="s">
        <v>74</v>
      </c>
      <c r="BF569" t="s">
        <v>74</v>
      </c>
      <c r="BG569" t="s">
        <v>74</v>
      </c>
      <c r="BH569" t="s">
        <v>74</v>
      </c>
      <c r="BI569">
        <v>15</v>
      </c>
      <c r="BJ569" t="s">
        <v>1386</v>
      </c>
      <c r="BK569" t="s">
        <v>98</v>
      </c>
      <c r="BL569" t="s">
        <v>1387</v>
      </c>
      <c r="BM569" t="s">
        <v>6985</v>
      </c>
      <c r="BN569" t="s">
        <v>74</v>
      </c>
      <c r="BO569" t="s">
        <v>74</v>
      </c>
      <c r="BP569" t="s">
        <v>74</v>
      </c>
      <c r="BQ569" t="s">
        <v>74</v>
      </c>
      <c r="BR569" t="s">
        <v>101</v>
      </c>
      <c r="BS569" t="s">
        <v>6986</v>
      </c>
      <c r="BT569" t="str">
        <f>HYPERLINK("https%3A%2F%2Fwww.webofscience.com%2Fwos%2Fwoscc%2Ffull-record%2FWOS:000071014700005","View Full Record in Web of Science")</f>
        <v>View Full Record in Web of Science</v>
      </c>
    </row>
    <row r="570" spans="1:72" x14ac:dyDescent="0.15">
      <c r="A570" t="s">
        <v>72</v>
      </c>
      <c r="B570" t="s">
        <v>6987</v>
      </c>
      <c r="C570" t="s">
        <v>74</v>
      </c>
      <c r="D570" t="s">
        <v>74</v>
      </c>
      <c r="E570" t="s">
        <v>74</v>
      </c>
      <c r="F570" t="s">
        <v>6987</v>
      </c>
      <c r="G570" t="s">
        <v>74</v>
      </c>
      <c r="H570" t="s">
        <v>74</v>
      </c>
      <c r="I570" t="s">
        <v>6988</v>
      </c>
      <c r="J570" t="s">
        <v>6989</v>
      </c>
      <c r="K570" t="s">
        <v>74</v>
      </c>
      <c r="L570" t="s">
        <v>74</v>
      </c>
      <c r="M570" t="s">
        <v>77</v>
      </c>
      <c r="N570" t="s">
        <v>78</v>
      </c>
      <c r="O570" t="s">
        <v>74</v>
      </c>
      <c r="P570" t="s">
        <v>74</v>
      </c>
      <c r="Q570" t="s">
        <v>74</v>
      </c>
      <c r="R570" t="s">
        <v>74</v>
      </c>
      <c r="S570" t="s">
        <v>74</v>
      </c>
      <c r="T570" t="s">
        <v>6990</v>
      </c>
      <c r="U570" t="s">
        <v>6991</v>
      </c>
      <c r="V570" t="s">
        <v>6992</v>
      </c>
      <c r="W570" t="s">
        <v>6993</v>
      </c>
      <c r="X570" t="s">
        <v>6994</v>
      </c>
      <c r="Y570" t="s">
        <v>6995</v>
      </c>
      <c r="Z570" t="s">
        <v>74</v>
      </c>
      <c r="AA570" t="s">
        <v>74</v>
      </c>
      <c r="AB570" t="s">
        <v>6996</v>
      </c>
      <c r="AC570" t="s">
        <v>74</v>
      </c>
      <c r="AD570" t="s">
        <v>74</v>
      </c>
      <c r="AE570" t="s">
        <v>74</v>
      </c>
      <c r="AF570" t="s">
        <v>74</v>
      </c>
      <c r="AG570">
        <v>36</v>
      </c>
      <c r="AH570">
        <v>3</v>
      </c>
      <c r="AI570">
        <v>3</v>
      </c>
      <c r="AJ570">
        <v>0</v>
      </c>
      <c r="AK570">
        <v>0</v>
      </c>
      <c r="AL570" t="s">
        <v>1340</v>
      </c>
      <c r="AM570" t="s">
        <v>1341</v>
      </c>
      <c r="AN570" t="s">
        <v>6997</v>
      </c>
      <c r="AO570" t="s">
        <v>6998</v>
      </c>
      <c r="AP570" t="s">
        <v>74</v>
      </c>
      <c r="AQ570" t="s">
        <v>74</v>
      </c>
      <c r="AR570" t="s">
        <v>6999</v>
      </c>
      <c r="AS570" t="s">
        <v>7000</v>
      </c>
      <c r="AT570" t="s">
        <v>7001</v>
      </c>
      <c r="AU570">
        <v>1997</v>
      </c>
      <c r="AV570">
        <v>491</v>
      </c>
      <c r="AW570">
        <v>1</v>
      </c>
      <c r="AX570">
        <v>1</v>
      </c>
      <c r="AY570" t="s">
        <v>74</v>
      </c>
      <c r="AZ570" t="s">
        <v>74</v>
      </c>
      <c r="BA570" t="s">
        <v>74</v>
      </c>
      <c r="BB570">
        <v>191</v>
      </c>
      <c r="BC570">
        <v>199</v>
      </c>
      <c r="BD570" t="s">
        <v>74</v>
      </c>
      <c r="BE570" t="s">
        <v>7002</v>
      </c>
      <c r="BF570" t="str">
        <f>HYPERLINK("http://dx.doi.org/10.1086/304928","http://dx.doi.org/10.1086/304928")</f>
        <v>http://dx.doi.org/10.1086/304928</v>
      </c>
      <c r="BG570" t="s">
        <v>74</v>
      </c>
      <c r="BH570" t="s">
        <v>74</v>
      </c>
      <c r="BI570">
        <v>9</v>
      </c>
      <c r="BJ570" t="s">
        <v>971</v>
      </c>
      <c r="BK570" t="s">
        <v>98</v>
      </c>
      <c r="BL570" t="s">
        <v>971</v>
      </c>
      <c r="BM570" t="s">
        <v>7003</v>
      </c>
      <c r="BN570" t="s">
        <v>74</v>
      </c>
      <c r="BO570" t="s">
        <v>100</v>
      </c>
      <c r="BP570" t="s">
        <v>74</v>
      </c>
      <c r="BQ570" t="s">
        <v>74</v>
      </c>
      <c r="BR570" t="s">
        <v>101</v>
      </c>
      <c r="BS570" t="s">
        <v>7004</v>
      </c>
      <c r="BT570" t="str">
        <f>HYPERLINK("https%3A%2F%2Fwww.webofscience.com%2Fwos%2Fwoscc%2Ffull-record%2FWOS:A1997YL50700020","View Full Record in Web of Science")</f>
        <v>View Full Record in Web of Science</v>
      </c>
    </row>
    <row r="571" spans="1:72" x14ac:dyDescent="0.15">
      <c r="A571" t="s">
        <v>72</v>
      </c>
      <c r="B571" t="s">
        <v>7005</v>
      </c>
      <c r="C571" t="s">
        <v>74</v>
      </c>
      <c r="D571" t="s">
        <v>74</v>
      </c>
      <c r="E571" t="s">
        <v>74</v>
      </c>
      <c r="F571" t="s">
        <v>7005</v>
      </c>
      <c r="G571" t="s">
        <v>74</v>
      </c>
      <c r="H571" t="s">
        <v>74</v>
      </c>
      <c r="I571" t="s">
        <v>7006</v>
      </c>
      <c r="J571" t="s">
        <v>127</v>
      </c>
      <c r="K571" t="s">
        <v>74</v>
      </c>
      <c r="L571" t="s">
        <v>74</v>
      </c>
      <c r="M571" t="s">
        <v>77</v>
      </c>
      <c r="N571" t="s">
        <v>78</v>
      </c>
      <c r="O571" t="s">
        <v>74</v>
      </c>
      <c r="P571" t="s">
        <v>74</v>
      </c>
      <c r="Q571" t="s">
        <v>74</v>
      </c>
      <c r="R571" t="s">
        <v>74</v>
      </c>
      <c r="S571" t="s">
        <v>74</v>
      </c>
      <c r="T571" t="s">
        <v>74</v>
      </c>
      <c r="U571" t="s">
        <v>7007</v>
      </c>
      <c r="V571" t="s">
        <v>7008</v>
      </c>
      <c r="W571" t="s">
        <v>7009</v>
      </c>
      <c r="X571" t="s">
        <v>7010</v>
      </c>
      <c r="Y571" t="s">
        <v>7011</v>
      </c>
      <c r="Z571" t="s">
        <v>74</v>
      </c>
      <c r="AA571" t="s">
        <v>7012</v>
      </c>
      <c r="AB571" t="s">
        <v>7013</v>
      </c>
      <c r="AC571" t="s">
        <v>74</v>
      </c>
      <c r="AD571" t="s">
        <v>74</v>
      </c>
      <c r="AE571" t="s">
        <v>74</v>
      </c>
      <c r="AF571" t="s">
        <v>74</v>
      </c>
      <c r="AG571">
        <v>72</v>
      </c>
      <c r="AH571">
        <v>98</v>
      </c>
      <c r="AI571">
        <v>110</v>
      </c>
      <c r="AJ571">
        <v>0</v>
      </c>
      <c r="AK571">
        <v>13</v>
      </c>
      <c r="AL571" t="s">
        <v>87</v>
      </c>
      <c r="AM571" t="s">
        <v>88</v>
      </c>
      <c r="AN571" t="s">
        <v>89</v>
      </c>
      <c r="AO571" t="s">
        <v>136</v>
      </c>
      <c r="AP571" t="s">
        <v>137</v>
      </c>
      <c r="AQ571" t="s">
        <v>74</v>
      </c>
      <c r="AR571" t="s">
        <v>138</v>
      </c>
      <c r="AS571" t="s">
        <v>139</v>
      </c>
      <c r="AT571" t="s">
        <v>7001</v>
      </c>
      <c r="AU571">
        <v>1997</v>
      </c>
      <c r="AV571">
        <v>102</v>
      </c>
      <c r="AW571" t="s">
        <v>7014</v>
      </c>
      <c r="AX571" t="s">
        <v>74</v>
      </c>
      <c r="AY571" t="s">
        <v>74</v>
      </c>
      <c r="AZ571" t="s">
        <v>74</v>
      </c>
      <c r="BA571" t="s">
        <v>74</v>
      </c>
      <c r="BB571">
        <v>27603</v>
      </c>
      <c r="BC571">
        <v>27621</v>
      </c>
      <c r="BD571" t="s">
        <v>74</v>
      </c>
      <c r="BE571" t="s">
        <v>7015</v>
      </c>
      <c r="BF571" t="str">
        <f>HYPERLINK("http://dx.doi.org/10.1029/97JB02483","http://dx.doi.org/10.1029/97JB02483")</f>
        <v>http://dx.doi.org/10.1029/97JB02483</v>
      </c>
      <c r="BG571" t="s">
        <v>74</v>
      </c>
      <c r="BH571" t="s">
        <v>74</v>
      </c>
      <c r="BI571">
        <v>19</v>
      </c>
      <c r="BJ571" t="s">
        <v>143</v>
      </c>
      <c r="BK571" t="s">
        <v>98</v>
      </c>
      <c r="BL571" t="s">
        <v>143</v>
      </c>
      <c r="BM571" t="s">
        <v>7016</v>
      </c>
      <c r="BN571" t="s">
        <v>74</v>
      </c>
      <c r="BO571" t="s">
        <v>74</v>
      </c>
      <c r="BP571" t="s">
        <v>74</v>
      </c>
      <c r="BQ571" t="s">
        <v>74</v>
      </c>
      <c r="BR571" t="s">
        <v>101</v>
      </c>
      <c r="BS571" t="s">
        <v>7017</v>
      </c>
      <c r="BT571" t="str">
        <f>HYPERLINK("https%3A%2F%2Fwww.webofscience.com%2Fwos%2Fwoscc%2Ffull-record%2FWOS:A1997YL14500023","View Full Record in Web of Science")</f>
        <v>View Full Record in Web of Science</v>
      </c>
    </row>
    <row r="572" spans="1:72" x14ac:dyDescent="0.15">
      <c r="A572" t="s">
        <v>72</v>
      </c>
      <c r="B572" t="s">
        <v>7018</v>
      </c>
      <c r="C572" t="s">
        <v>74</v>
      </c>
      <c r="D572" t="s">
        <v>74</v>
      </c>
      <c r="E572" t="s">
        <v>74</v>
      </c>
      <c r="F572" t="s">
        <v>7018</v>
      </c>
      <c r="G572" t="s">
        <v>74</v>
      </c>
      <c r="H572" t="s">
        <v>74</v>
      </c>
      <c r="I572" t="s">
        <v>7019</v>
      </c>
      <c r="J572" t="s">
        <v>211</v>
      </c>
      <c r="K572" t="s">
        <v>74</v>
      </c>
      <c r="L572" t="s">
        <v>74</v>
      </c>
      <c r="M572" t="s">
        <v>77</v>
      </c>
      <c r="N572" t="s">
        <v>212</v>
      </c>
      <c r="O572" t="s">
        <v>74</v>
      </c>
      <c r="P572" t="s">
        <v>74</v>
      </c>
      <c r="Q572" t="s">
        <v>74</v>
      </c>
      <c r="R572" t="s">
        <v>74</v>
      </c>
      <c r="S572" t="s">
        <v>74</v>
      </c>
      <c r="T572" t="s">
        <v>74</v>
      </c>
      <c r="U572" t="s">
        <v>74</v>
      </c>
      <c r="V572" t="s">
        <v>74</v>
      </c>
      <c r="W572" t="s">
        <v>758</v>
      </c>
      <c r="X572" t="s">
        <v>322</v>
      </c>
      <c r="Y572" t="s">
        <v>7020</v>
      </c>
      <c r="Z572" t="s">
        <v>74</v>
      </c>
      <c r="AA572" t="s">
        <v>74</v>
      </c>
      <c r="AB572" t="s">
        <v>74</v>
      </c>
      <c r="AC572" t="s">
        <v>74</v>
      </c>
      <c r="AD572" t="s">
        <v>74</v>
      </c>
      <c r="AE572" t="s">
        <v>74</v>
      </c>
      <c r="AF572" t="s">
        <v>74</v>
      </c>
      <c r="AG572">
        <v>0</v>
      </c>
      <c r="AH572">
        <v>0</v>
      </c>
      <c r="AI572">
        <v>0</v>
      </c>
      <c r="AJ572">
        <v>0</v>
      </c>
      <c r="AK572">
        <v>0</v>
      </c>
      <c r="AL572" t="s">
        <v>213</v>
      </c>
      <c r="AM572" t="s">
        <v>214</v>
      </c>
      <c r="AN572" t="s">
        <v>215</v>
      </c>
      <c r="AO572" t="s">
        <v>216</v>
      </c>
      <c r="AP572" t="s">
        <v>74</v>
      </c>
      <c r="AQ572" t="s">
        <v>74</v>
      </c>
      <c r="AR572" t="s">
        <v>217</v>
      </c>
      <c r="AS572" t="s">
        <v>218</v>
      </c>
      <c r="AT572" t="s">
        <v>7021</v>
      </c>
      <c r="AU572">
        <v>1997</v>
      </c>
      <c r="AV572">
        <v>9</v>
      </c>
      <c r="AW572">
        <v>4</v>
      </c>
      <c r="AX572" t="s">
        <v>74</v>
      </c>
      <c r="AY572" t="s">
        <v>74</v>
      </c>
      <c r="AZ572" t="s">
        <v>74</v>
      </c>
      <c r="BA572" t="s">
        <v>74</v>
      </c>
      <c r="BB572">
        <v>371</v>
      </c>
      <c r="BC572">
        <v>371</v>
      </c>
      <c r="BD572" t="s">
        <v>74</v>
      </c>
      <c r="BE572" t="s">
        <v>7022</v>
      </c>
      <c r="BF572" t="str">
        <f>HYPERLINK("http://dx.doi.org/10.1017/S0954102097000461","http://dx.doi.org/10.1017/S0954102097000461")</f>
        <v>http://dx.doi.org/10.1017/S0954102097000461</v>
      </c>
      <c r="BG572" t="s">
        <v>74</v>
      </c>
      <c r="BH572" t="s">
        <v>74</v>
      </c>
      <c r="BI572">
        <v>1</v>
      </c>
      <c r="BJ572" t="s">
        <v>220</v>
      </c>
      <c r="BK572" t="s">
        <v>98</v>
      </c>
      <c r="BL572" t="s">
        <v>221</v>
      </c>
      <c r="BM572" t="s">
        <v>7023</v>
      </c>
      <c r="BN572" t="s">
        <v>74</v>
      </c>
      <c r="BO572" t="s">
        <v>100</v>
      </c>
      <c r="BP572" t="s">
        <v>74</v>
      </c>
      <c r="BQ572" t="s">
        <v>74</v>
      </c>
      <c r="BR572" t="s">
        <v>101</v>
      </c>
      <c r="BS572" t="s">
        <v>7024</v>
      </c>
      <c r="BT572" t="str">
        <f>HYPERLINK("https%3A%2F%2Fwww.webofscience.com%2Fwos%2Fwoscc%2Ffull-record%2FWOS:000074000500001","View Full Record in Web of Science")</f>
        <v>View Full Record in Web of Science</v>
      </c>
    </row>
    <row r="573" spans="1:72" x14ac:dyDescent="0.15">
      <c r="A573" t="s">
        <v>72</v>
      </c>
      <c r="B573" t="s">
        <v>7025</v>
      </c>
      <c r="C573" t="s">
        <v>74</v>
      </c>
      <c r="D573" t="s">
        <v>74</v>
      </c>
      <c r="E573" t="s">
        <v>74</v>
      </c>
      <c r="F573" t="s">
        <v>7025</v>
      </c>
      <c r="G573" t="s">
        <v>74</v>
      </c>
      <c r="H573" t="s">
        <v>74</v>
      </c>
      <c r="I573" t="s">
        <v>7026</v>
      </c>
      <c r="J573" t="s">
        <v>211</v>
      </c>
      <c r="K573" t="s">
        <v>74</v>
      </c>
      <c r="L573" t="s">
        <v>74</v>
      </c>
      <c r="M573" t="s">
        <v>77</v>
      </c>
      <c r="N573" t="s">
        <v>78</v>
      </c>
      <c r="O573" t="s">
        <v>74</v>
      </c>
      <c r="P573" t="s">
        <v>74</v>
      </c>
      <c r="Q573" t="s">
        <v>74</v>
      </c>
      <c r="R573" t="s">
        <v>74</v>
      </c>
      <c r="S573" t="s">
        <v>74</v>
      </c>
      <c r="T573" t="s">
        <v>7027</v>
      </c>
      <c r="U573" t="s">
        <v>7028</v>
      </c>
      <c r="V573" t="s">
        <v>7029</v>
      </c>
      <c r="W573" t="s">
        <v>7030</v>
      </c>
      <c r="X573" t="s">
        <v>7031</v>
      </c>
      <c r="Y573" t="s">
        <v>7032</v>
      </c>
      <c r="Z573" t="s">
        <v>74</v>
      </c>
      <c r="AA573" t="s">
        <v>74</v>
      </c>
      <c r="AB573" t="s">
        <v>74</v>
      </c>
      <c r="AC573" t="s">
        <v>74</v>
      </c>
      <c r="AD573" t="s">
        <v>74</v>
      </c>
      <c r="AE573" t="s">
        <v>74</v>
      </c>
      <c r="AF573" t="s">
        <v>74</v>
      </c>
      <c r="AG573">
        <v>28</v>
      </c>
      <c r="AH573">
        <v>23</v>
      </c>
      <c r="AI573">
        <v>23</v>
      </c>
      <c r="AJ573">
        <v>0</v>
      </c>
      <c r="AK573">
        <v>3</v>
      </c>
      <c r="AL573" t="s">
        <v>243</v>
      </c>
      <c r="AM573" t="s">
        <v>244</v>
      </c>
      <c r="AN573" t="s">
        <v>245</v>
      </c>
      <c r="AO573" t="s">
        <v>216</v>
      </c>
      <c r="AP573" t="s">
        <v>293</v>
      </c>
      <c r="AQ573" t="s">
        <v>74</v>
      </c>
      <c r="AR573" t="s">
        <v>217</v>
      </c>
      <c r="AS573" t="s">
        <v>218</v>
      </c>
      <c r="AT573" t="s">
        <v>7021</v>
      </c>
      <c r="AU573">
        <v>1997</v>
      </c>
      <c r="AV573">
        <v>9</v>
      </c>
      <c r="AW573">
        <v>4</v>
      </c>
      <c r="AX573" t="s">
        <v>74</v>
      </c>
      <c r="AY573" t="s">
        <v>74</v>
      </c>
      <c r="AZ573" t="s">
        <v>74</v>
      </c>
      <c r="BA573" t="s">
        <v>74</v>
      </c>
      <c r="BB573">
        <v>373</v>
      </c>
      <c r="BC573">
        <v>380</v>
      </c>
      <c r="BD573" t="s">
        <v>74</v>
      </c>
      <c r="BE573" t="s">
        <v>7033</v>
      </c>
      <c r="BF573" t="str">
        <f>HYPERLINK("http://dx.doi.org/10.1017/S0954102097000473","http://dx.doi.org/10.1017/S0954102097000473")</f>
        <v>http://dx.doi.org/10.1017/S0954102097000473</v>
      </c>
      <c r="BG573" t="s">
        <v>74</v>
      </c>
      <c r="BH573" t="s">
        <v>74</v>
      </c>
      <c r="BI573">
        <v>8</v>
      </c>
      <c r="BJ573" t="s">
        <v>220</v>
      </c>
      <c r="BK573" t="s">
        <v>98</v>
      </c>
      <c r="BL573" t="s">
        <v>221</v>
      </c>
      <c r="BM573" t="s">
        <v>7023</v>
      </c>
      <c r="BN573" t="s">
        <v>74</v>
      </c>
      <c r="BO573" t="s">
        <v>74</v>
      </c>
      <c r="BP573" t="s">
        <v>74</v>
      </c>
      <c r="BQ573" t="s">
        <v>74</v>
      </c>
      <c r="BR573" t="s">
        <v>101</v>
      </c>
      <c r="BS573" t="s">
        <v>7034</v>
      </c>
      <c r="BT573" t="str">
        <f>HYPERLINK("https%3A%2F%2Fwww.webofscience.com%2Fwos%2Fwoscc%2Ffull-record%2FWOS:000074000500002","View Full Record in Web of Science")</f>
        <v>View Full Record in Web of Science</v>
      </c>
    </row>
    <row r="574" spans="1:72" x14ac:dyDescent="0.15">
      <c r="A574" t="s">
        <v>72</v>
      </c>
      <c r="B574" t="s">
        <v>7035</v>
      </c>
      <c r="C574" t="s">
        <v>74</v>
      </c>
      <c r="D574" t="s">
        <v>74</v>
      </c>
      <c r="E574" t="s">
        <v>74</v>
      </c>
      <c r="F574" t="s">
        <v>7035</v>
      </c>
      <c r="G574" t="s">
        <v>74</v>
      </c>
      <c r="H574" t="s">
        <v>74</v>
      </c>
      <c r="I574" t="s">
        <v>7036</v>
      </c>
      <c r="J574" t="s">
        <v>211</v>
      </c>
      <c r="K574" t="s">
        <v>74</v>
      </c>
      <c r="L574" t="s">
        <v>74</v>
      </c>
      <c r="M574" t="s">
        <v>77</v>
      </c>
      <c r="N574" t="s">
        <v>78</v>
      </c>
      <c r="O574" t="s">
        <v>74</v>
      </c>
      <c r="P574" t="s">
        <v>74</v>
      </c>
      <c r="Q574" t="s">
        <v>74</v>
      </c>
      <c r="R574" t="s">
        <v>74</v>
      </c>
      <c r="S574" t="s">
        <v>74</v>
      </c>
      <c r="T574" t="s">
        <v>7037</v>
      </c>
      <c r="U574" t="s">
        <v>7038</v>
      </c>
      <c r="V574" t="s">
        <v>7039</v>
      </c>
      <c r="W574" t="s">
        <v>7040</v>
      </c>
      <c r="X574" t="s">
        <v>7041</v>
      </c>
      <c r="Y574" t="s">
        <v>7042</v>
      </c>
      <c r="Z574" t="s">
        <v>74</v>
      </c>
      <c r="AA574" t="s">
        <v>7043</v>
      </c>
      <c r="AB574" t="s">
        <v>74</v>
      </c>
      <c r="AC574" t="s">
        <v>74</v>
      </c>
      <c r="AD574" t="s">
        <v>74</v>
      </c>
      <c r="AE574" t="s">
        <v>74</v>
      </c>
      <c r="AF574" t="s">
        <v>74</v>
      </c>
      <c r="AG574">
        <v>10</v>
      </c>
      <c r="AH574">
        <v>29</v>
      </c>
      <c r="AI574">
        <v>29</v>
      </c>
      <c r="AJ574">
        <v>0</v>
      </c>
      <c r="AK574">
        <v>2</v>
      </c>
      <c r="AL574" t="s">
        <v>213</v>
      </c>
      <c r="AM574" t="s">
        <v>214</v>
      </c>
      <c r="AN574" t="s">
        <v>215</v>
      </c>
      <c r="AO574" t="s">
        <v>216</v>
      </c>
      <c r="AP574" t="s">
        <v>74</v>
      </c>
      <c r="AQ574" t="s">
        <v>74</v>
      </c>
      <c r="AR574" t="s">
        <v>217</v>
      </c>
      <c r="AS574" t="s">
        <v>218</v>
      </c>
      <c r="AT574" t="s">
        <v>7021</v>
      </c>
      <c r="AU574">
        <v>1997</v>
      </c>
      <c r="AV574">
        <v>9</v>
      </c>
      <c r="AW574">
        <v>4</v>
      </c>
      <c r="AX574" t="s">
        <v>74</v>
      </c>
      <c r="AY574" t="s">
        <v>74</v>
      </c>
      <c r="AZ574" t="s">
        <v>74</v>
      </c>
      <c r="BA574" t="s">
        <v>74</v>
      </c>
      <c r="BB574">
        <v>381</v>
      </c>
      <c r="BC574">
        <v>385</v>
      </c>
      <c r="BD574" t="s">
        <v>74</v>
      </c>
      <c r="BE574" t="s">
        <v>7044</v>
      </c>
      <c r="BF574" t="str">
        <f>HYPERLINK("http://dx.doi.org/10.1017/S0954102097000485","http://dx.doi.org/10.1017/S0954102097000485")</f>
        <v>http://dx.doi.org/10.1017/S0954102097000485</v>
      </c>
      <c r="BG574" t="s">
        <v>74</v>
      </c>
      <c r="BH574" t="s">
        <v>74</v>
      </c>
      <c r="BI574">
        <v>5</v>
      </c>
      <c r="BJ574" t="s">
        <v>220</v>
      </c>
      <c r="BK574" t="s">
        <v>98</v>
      </c>
      <c r="BL574" t="s">
        <v>221</v>
      </c>
      <c r="BM574" t="s">
        <v>7023</v>
      </c>
      <c r="BN574" t="s">
        <v>74</v>
      </c>
      <c r="BO574" t="s">
        <v>74</v>
      </c>
      <c r="BP574" t="s">
        <v>74</v>
      </c>
      <c r="BQ574" t="s">
        <v>74</v>
      </c>
      <c r="BR574" t="s">
        <v>101</v>
      </c>
      <c r="BS574" t="s">
        <v>7045</v>
      </c>
      <c r="BT574" t="str">
        <f>HYPERLINK("https%3A%2F%2Fwww.webofscience.com%2Fwos%2Fwoscc%2Ffull-record%2FWOS:000074000500003","View Full Record in Web of Science")</f>
        <v>View Full Record in Web of Science</v>
      </c>
    </row>
    <row r="575" spans="1:72" x14ac:dyDescent="0.15">
      <c r="A575" t="s">
        <v>72</v>
      </c>
      <c r="B575" t="s">
        <v>7046</v>
      </c>
      <c r="C575" t="s">
        <v>74</v>
      </c>
      <c r="D575" t="s">
        <v>74</v>
      </c>
      <c r="E575" t="s">
        <v>74</v>
      </c>
      <c r="F575" t="s">
        <v>7046</v>
      </c>
      <c r="G575" t="s">
        <v>74</v>
      </c>
      <c r="H575" t="s">
        <v>74</v>
      </c>
      <c r="I575" t="s">
        <v>7047</v>
      </c>
      <c r="J575" t="s">
        <v>211</v>
      </c>
      <c r="K575" t="s">
        <v>74</v>
      </c>
      <c r="L575" t="s">
        <v>74</v>
      </c>
      <c r="M575" t="s">
        <v>77</v>
      </c>
      <c r="N575" t="s">
        <v>78</v>
      </c>
      <c r="O575" t="s">
        <v>74</v>
      </c>
      <c r="P575" t="s">
        <v>74</v>
      </c>
      <c r="Q575" t="s">
        <v>74</v>
      </c>
      <c r="R575" t="s">
        <v>74</v>
      </c>
      <c r="S575" t="s">
        <v>74</v>
      </c>
      <c r="T575" t="s">
        <v>7048</v>
      </c>
      <c r="U575" t="s">
        <v>7049</v>
      </c>
      <c r="V575" t="s">
        <v>7050</v>
      </c>
      <c r="W575" t="s">
        <v>7051</v>
      </c>
      <c r="X575" t="s">
        <v>7052</v>
      </c>
      <c r="Y575" t="s">
        <v>7053</v>
      </c>
      <c r="Z575" t="s">
        <v>74</v>
      </c>
      <c r="AA575" t="s">
        <v>74</v>
      </c>
      <c r="AB575" t="s">
        <v>7054</v>
      </c>
      <c r="AC575" t="s">
        <v>74</v>
      </c>
      <c r="AD575" t="s">
        <v>74</v>
      </c>
      <c r="AE575" t="s">
        <v>74</v>
      </c>
      <c r="AF575" t="s">
        <v>74</v>
      </c>
      <c r="AG575">
        <v>43</v>
      </c>
      <c r="AH575">
        <v>61</v>
      </c>
      <c r="AI575">
        <v>68</v>
      </c>
      <c r="AJ575">
        <v>1</v>
      </c>
      <c r="AK575">
        <v>17</v>
      </c>
      <c r="AL575" t="s">
        <v>213</v>
      </c>
      <c r="AM575" t="s">
        <v>214</v>
      </c>
      <c r="AN575" t="s">
        <v>215</v>
      </c>
      <c r="AO575" t="s">
        <v>216</v>
      </c>
      <c r="AP575" t="s">
        <v>74</v>
      </c>
      <c r="AQ575" t="s">
        <v>74</v>
      </c>
      <c r="AR575" t="s">
        <v>217</v>
      </c>
      <c r="AS575" t="s">
        <v>218</v>
      </c>
      <c r="AT575" t="s">
        <v>7021</v>
      </c>
      <c r="AU575">
        <v>1997</v>
      </c>
      <c r="AV575">
        <v>9</v>
      </c>
      <c r="AW575">
        <v>4</v>
      </c>
      <c r="AX575" t="s">
        <v>74</v>
      </c>
      <c r="AY575" t="s">
        <v>74</v>
      </c>
      <c r="AZ575" t="s">
        <v>74</v>
      </c>
      <c r="BA575" t="s">
        <v>74</v>
      </c>
      <c r="BB575">
        <v>386</v>
      </c>
      <c r="BC575">
        <v>391</v>
      </c>
      <c r="BD575" t="s">
        <v>74</v>
      </c>
      <c r="BE575" t="s">
        <v>7055</v>
      </c>
      <c r="BF575" t="str">
        <f>HYPERLINK("http://dx.doi.org/10.1017/S0954102097000497","http://dx.doi.org/10.1017/S0954102097000497")</f>
        <v>http://dx.doi.org/10.1017/S0954102097000497</v>
      </c>
      <c r="BG575" t="s">
        <v>74</v>
      </c>
      <c r="BH575" t="s">
        <v>74</v>
      </c>
      <c r="BI575">
        <v>6</v>
      </c>
      <c r="BJ575" t="s">
        <v>220</v>
      </c>
      <c r="BK575" t="s">
        <v>98</v>
      </c>
      <c r="BL575" t="s">
        <v>221</v>
      </c>
      <c r="BM575" t="s">
        <v>7023</v>
      </c>
      <c r="BN575" t="s">
        <v>74</v>
      </c>
      <c r="BO575" t="s">
        <v>74</v>
      </c>
      <c r="BP575" t="s">
        <v>74</v>
      </c>
      <c r="BQ575" t="s">
        <v>74</v>
      </c>
      <c r="BR575" t="s">
        <v>101</v>
      </c>
      <c r="BS575" t="s">
        <v>7056</v>
      </c>
      <c r="BT575" t="str">
        <f>HYPERLINK("https%3A%2F%2Fwww.webofscience.com%2Fwos%2Fwoscc%2Ffull-record%2FWOS:000074000500004","View Full Record in Web of Science")</f>
        <v>View Full Record in Web of Science</v>
      </c>
    </row>
    <row r="576" spans="1:72" x14ac:dyDescent="0.15">
      <c r="A576" t="s">
        <v>72</v>
      </c>
      <c r="B576" t="s">
        <v>7057</v>
      </c>
      <c r="C576" t="s">
        <v>74</v>
      </c>
      <c r="D576" t="s">
        <v>74</v>
      </c>
      <c r="E576" t="s">
        <v>74</v>
      </c>
      <c r="F576" t="s">
        <v>7057</v>
      </c>
      <c r="G576" t="s">
        <v>74</v>
      </c>
      <c r="H576" t="s">
        <v>74</v>
      </c>
      <c r="I576" t="s">
        <v>7058</v>
      </c>
      <c r="J576" t="s">
        <v>211</v>
      </c>
      <c r="K576" t="s">
        <v>74</v>
      </c>
      <c r="L576" t="s">
        <v>74</v>
      </c>
      <c r="M576" t="s">
        <v>77</v>
      </c>
      <c r="N576" t="s">
        <v>78</v>
      </c>
      <c r="O576" t="s">
        <v>74</v>
      </c>
      <c r="P576" t="s">
        <v>74</v>
      </c>
      <c r="Q576" t="s">
        <v>74</v>
      </c>
      <c r="R576" t="s">
        <v>74</v>
      </c>
      <c r="S576" t="s">
        <v>74</v>
      </c>
      <c r="T576" t="s">
        <v>7059</v>
      </c>
      <c r="U576" t="s">
        <v>7060</v>
      </c>
      <c r="V576" t="s">
        <v>7061</v>
      </c>
      <c r="W576" t="s">
        <v>7062</v>
      </c>
      <c r="X576" t="s">
        <v>7063</v>
      </c>
      <c r="Y576" t="s">
        <v>7064</v>
      </c>
      <c r="Z576" t="s">
        <v>7065</v>
      </c>
      <c r="AA576" t="s">
        <v>74</v>
      </c>
      <c r="AB576" t="s">
        <v>74</v>
      </c>
      <c r="AC576" t="s">
        <v>74</v>
      </c>
      <c r="AD576" t="s">
        <v>74</v>
      </c>
      <c r="AE576" t="s">
        <v>74</v>
      </c>
      <c r="AF576" t="s">
        <v>74</v>
      </c>
      <c r="AG576">
        <v>54</v>
      </c>
      <c r="AH576">
        <v>53</v>
      </c>
      <c r="AI576">
        <v>60</v>
      </c>
      <c r="AJ576">
        <v>0</v>
      </c>
      <c r="AK576">
        <v>17</v>
      </c>
      <c r="AL576" t="s">
        <v>213</v>
      </c>
      <c r="AM576" t="s">
        <v>214</v>
      </c>
      <c r="AN576" t="s">
        <v>215</v>
      </c>
      <c r="AO576" t="s">
        <v>216</v>
      </c>
      <c r="AP576" t="s">
        <v>74</v>
      </c>
      <c r="AQ576" t="s">
        <v>74</v>
      </c>
      <c r="AR576" t="s">
        <v>217</v>
      </c>
      <c r="AS576" t="s">
        <v>218</v>
      </c>
      <c r="AT576" t="s">
        <v>7021</v>
      </c>
      <c r="AU576">
        <v>1997</v>
      </c>
      <c r="AV576">
        <v>9</v>
      </c>
      <c r="AW576">
        <v>4</v>
      </c>
      <c r="AX576" t="s">
        <v>74</v>
      </c>
      <c r="AY576" t="s">
        <v>74</v>
      </c>
      <c r="AZ576" t="s">
        <v>74</v>
      </c>
      <c r="BA576" t="s">
        <v>74</v>
      </c>
      <c r="BB576">
        <v>392</v>
      </c>
      <c r="BC576">
        <v>398</v>
      </c>
      <c r="BD576" t="s">
        <v>74</v>
      </c>
      <c r="BE576" t="s">
        <v>7066</v>
      </c>
      <c r="BF576" t="str">
        <f>HYPERLINK("http://dx.doi.org/10.1017/S0954102097000503","http://dx.doi.org/10.1017/S0954102097000503")</f>
        <v>http://dx.doi.org/10.1017/S0954102097000503</v>
      </c>
      <c r="BG576" t="s">
        <v>74</v>
      </c>
      <c r="BH576" t="s">
        <v>74</v>
      </c>
      <c r="BI576">
        <v>7</v>
      </c>
      <c r="BJ576" t="s">
        <v>220</v>
      </c>
      <c r="BK576" t="s">
        <v>98</v>
      </c>
      <c r="BL576" t="s">
        <v>221</v>
      </c>
      <c r="BM576" t="s">
        <v>7023</v>
      </c>
      <c r="BN576" t="s">
        <v>74</v>
      </c>
      <c r="BO576" t="s">
        <v>74</v>
      </c>
      <c r="BP576" t="s">
        <v>74</v>
      </c>
      <c r="BQ576" t="s">
        <v>74</v>
      </c>
      <c r="BR576" t="s">
        <v>101</v>
      </c>
      <c r="BS576" t="s">
        <v>7067</v>
      </c>
      <c r="BT576" t="str">
        <f>HYPERLINK("https%3A%2F%2Fwww.webofscience.com%2Fwos%2Fwoscc%2Ffull-record%2FWOS:000074000500005","View Full Record in Web of Science")</f>
        <v>View Full Record in Web of Science</v>
      </c>
    </row>
    <row r="577" spans="1:72" x14ac:dyDescent="0.15">
      <c r="A577" t="s">
        <v>72</v>
      </c>
      <c r="B577" t="s">
        <v>7068</v>
      </c>
      <c r="C577" t="s">
        <v>74</v>
      </c>
      <c r="D577" t="s">
        <v>74</v>
      </c>
      <c r="E577" t="s">
        <v>74</v>
      </c>
      <c r="F577" t="s">
        <v>7068</v>
      </c>
      <c r="G577" t="s">
        <v>74</v>
      </c>
      <c r="H577" t="s">
        <v>74</v>
      </c>
      <c r="I577" t="s">
        <v>7069</v>
      </c>
      <c r="J577" t="s">
        <v>211</v>
      </c>
      <c r="K577" t="s">
        <v>74</v>
      </c>
      <c r="L577" t="s">
        <v>74</v>
      </c>
      <c r="M577" t="s">
        <v>77</v>
      </c>
      <c r="N577" t="s">
        <v>78</v>
      </c>
      <c r="O577" t="s">
        <v>74</v>
      </c>
      <c r="P577" t="s">
        <v>74</v>
      </c>
      <c r="Q577" t="s">
        <v>74</v>
      </c>
      <c r="R577" t="s">
        <v>74</v>
      </c>
      <c r="S577" t="s">
        <v>74</v>
      </c>
      <c r="T577" t="s">
        <v>7070</v>
      </c>
      <c r="U577" t="s">
        <v>7071</v>
      </c>
      <c r="V577" t="s">
        <v>7072</v>
      </c>
      <c r="W577" t="s">
        <v>7073</v>
      </c>
      <c r="X577" t="s">
        <v>7074</v>
      </c>
      <c r="Y577" t="s">
        <v>7075</v>
      </c>
      <c r="Z577" t="s">
        <v>74</v>
      </c>
      <c r="AA577" t="s">
        <v>7076</v>
      </c>
      <c r="AB577" t="s">
        <v>1912</v>
      </c>
      <c r="AC577" t="s">
        <v>74</v>
      </c>
      <c r="AD577" t="s">
        <v>74</v>
      </c>
      <c r="AE577" t="s">
        <v>74</v>
      </c>
      <c r="AF577" t="s">
        <v>74</v>
      </c>
      <c r="AG577">
        <v>34</v>
      </c>
      <c r="AH577">
        <v>37</v>
      </c>
      <c r="AI577">
        <v>41</v>
      </c>
      <c r="AJ577">
        <v>0</v>
      </c>
      <c r="AK577">
        <v>4</v>
      </c>
      <c r="AL577" t="s">
        <v>213</v>
      </c>
      <c r="AM577" t="s">
        <v>214</v>
      </c>
      <c r="AN577" t="s">
        <v>215</v>
      </c>
      <c r="AO577" t="s">
        <v>216</v>
      </c>
      <c r="AP577" t="s">
        <v>74</v>
      </c>
      <c r="AQ577" t="s">
        <v>74</v>
      </c>
      <c r="AR577" t="s">
        <v>217</v>
      </c>
      <c r="AS577" t="s">
        <v>218</v>
      </c>
      <c r="AT577" t="s">
        <v>7021</v>
      </c>
      <c r="AU577">
        <v>1997</v>
      </c>
      <c r="AV577">
        <v>9</v>
      </c>
      <c r="AW577">
        <v>4</v>
      </c>
      <c r="AX577" t="s">
        <v>74</v>
      </c>
      <c r="AY577" t="s">
        <v>74</v>
      </c>
      <c r="AZ577" t="s">
        <v>74</v>
      </c>
      <c r="BA577" t="s">
        <v>74</v>
      </c>
      <c r="BB577">
        <v>399</v>
      </c>
      <c r="BC577">
        <v>406</v>
      </c>
      <c r="BD577" t="s">
        <v>74</v>
      </c>
      <c r="BE577" t="s">
        <v>7077</v>
      </c>
      <c r="BF577" t="str">
        <f>HYPERLINK("http://dx.doi.org/10.1017/S0954102097000515","http://dx.doi.org/10.1017/S0954102097000515")</f>
        <v>http://dx.doi.org/10.1017/S0954102097000515</v>
      </c>
      <c r="BG577" t="s">
        <v>74</v>
      </c>
      <c r="BH577" t="s">
        <v>74</v>
      </c>
      <c r="BI577">
        <v>8</v>
      </c>
      <c r="BJ577" t="s">
        <v>220</v>
      </c>
      <c r="BK577" t="s">
        <v>98</v>
      </c>
      <c r="BL577" t="s">
        <v>221</v>
      </c>
      <c r="BM577" t="s">
        <v>7023</v>
      </c>
      <c r="BN577" t="s">
        <v>74</v>
      </c>
      <c r="BO577" t="s">
        <v>74</v>
      </c>
      <c r="BP577" t="s">
        <v>74</v>
      </c>
      <c r="BQ577" t="s">
        <v>74</v>
      </c>
      <c r="BR577" t="s">
        <v>101</v>
      </c>
      <c r="BS577" t="s">
        <v>7078</v>
      </c>
      <c r="BT577" t="str">
        <f>HYPERLINK("https%3A%2F%2Fwww.webofscience.com%2Fwos%2Fwoscc%2Ffull-record%2FWOS:000074000500006","View Full Record in Web of Science")</f>
        <v>View Full Record in Web of Science</v>
      </c>
    </row>
    <row r="578" spans="1:72" x14ac:dyDescent="0.15">
      <c r="A578" t="s">
        <v>72</v>
      </c>
      <c r="B578" t="s">
        <v>7079</v>
      </c>
      <c r="C578" t="s">
        <v>74</v>
      </c>
      <c r="D578" t="s">
        <v>74</v>
      </c>
      <c r="E578" t="s">
        <v>74</v>
      </c>
      <c r="F578" t="s">
        <v>7079</v>
      </c>
      <c r="G578" t="s">
        <v>74</v>
      </c>
      <c r="H578" t="s">
        <v>74</v>
      </c>
      <c r="I578" t="s">
        <v>7080</v>
      </c>
      <c r="J578" t="s">
        <v>211</v>
      </c>
      <c r="K578" t="s">
        <v>74</v>
      </c>
      <c r="L578" t="s">
        <v>74</v>
      </c>
      <c r="M578" t="s">
        <v>77</v>
      </c>
      <c r="N578" t="s">
        <v>78</v>
      </c>
      <c r="O578" t="s">
        <v>74</v>
      </c>
      <c r="P578" t="s">
        <v>74</v>
      </c>
      <c r="Q578" t="s">
        <v>74</v>
      </c>
      <c r="R578" t="s">
        <v>74</v>
      </c>
      <c r="S578" t="s">
        <v>74</v>
      </c>
      <c r="T578" t="s">
        <v>7081</v>
      </c>
      <c r="U578" t="s">
        <v>7082</v>
      </c>
      <c r="V578" t="s">
        <v>7083</v>
      </c>
      <c r="W578" t="s">
        <v>7084</v>
      </c>
      <c r="X578" t="s">
        <v>74</v>
      </c>
      <c r="Y578" t="s">
        <v>7085</v>
      </c>
      <c r="Z578" t="s">
        <v>74</v>
      </c>
      <c r="AA578" t="s">
        <v>74</v>
      </c>
      <c r="AB578" t="s">
        <v>74</v>
      </c>
      <c r="AC578" t="s">
        <v>74</v>
      </c>
      <c r="AD578" t="s">
        <v>74</v>
      </c>
      <c r="AE578" t="s">
        <v>74</v>
      </c>
      <c r="AF578" t="s">
        <v>74</v>
      </c>
      <c r="AG578">
        <v>20</v>
      </c>
      <c r="AH578">
        <v>51</v>
      </c>
      <c r="AI578">
        <v>55</v>
      </c>
      <c r="AJ578">
        <v>0</v>
      </c>
      <c r="AK578">
        <v>4</v>
      </c>
      <c r="AL578" t="s">
        <v>213</v>
      </c>
      <c r="AM578" t="s">
        <v>214</v>
      </c>
      <c r="AN578" t="s">
        <v>215</v>
      </c>
      <c r="AO578" t="s">
        <v>216</v>
      </c>
      <c r="AP578" t="s">
        <v>74</v>
      </c>
      <c r="AQ578" t="s">
        <v>74</v>
      </c>
      <c r="AR578" t="s">
        <v>217</v>
      </c>
      <c r="AS578" t="s">
        <v>218</v>
      </c>
      <c r="AT578" t="s">
        <v>7021</v>
      </c>
      <c r="AU578">
        <v>1997</v>
      </c>
      <c r="AV578">
        <v>9</v>
      </c>
      <c r="AW578">
        <v>4</v>
      </c>
      <c r="AX578" t="s">
        <v>74</v>
      </c>
      <c r="AY578" t="s">
        <v>74</v>
      </c>
      <c r="AZ578" t="s">
        <v>74</v>
      </c>
      <c r="BA578" t="s">
        <v>74</v>
      </c>
      <c r="BB578">
        <v>407</v>
      </c>
      <c r="BC578">
        <v>413</v>
      </c>
      <c r="BD578" t="s">
        <v>74</v>
      </c>
      <c r="BE578" t="s">
        <v>7086</v>
      </c>
      <c r="BF578" t="str">
        <f>HYPERLINK("http://dx.doi.org/10.1017/S0954102097000527","http://dx.doi.org/10.1017/S0954102097000527")</f>
        <v>http://dx.doi.org/10.1017/S0954102097000527</v>
      </c>
      <c r="BG578" t="s">
        <v>74</v>
      </c>
      <c r="BH578" t="s">
        <v>74</v>
      </c>
      <c r="BI578">
        <v>7</v>
      </c>
      <c r="BJ578" t="s">
        <v>220</v>
      </c>
      <c r="BK578" t="s">
        <v>98</v>
      </c>
      <c r="BL578" t="s">
        <v>221</v>
      </c>
      <c r="BM578" t="s">
        <v>7023</v>
      </c>
      <c r="BN578" t="s">
        <v>74</v>
      </c>
      <c r="BO578" t="s">
        <v>74</v>
      </c>
      <c r="BP578" t="s">
        <v>74</v>
      </c>
      <c r="BQ578" t="s">
        <v>74</v>
      </c>
      <c r="BR578" t="s">
        <v>101</v>
      </c>
      <c r="BS578" t="s">
        <v>7087</v>
      </c>
      <c r="BT578" t="str">
        <f>HYPERLINK("https%3A%2F%2Fwww.webofscience.com%2Fwos%2Fwoscc%2Ffull-record%2FWOS:000074000500007","View Full Record in Web of Science")</f>
        <v>View Full Record in Web of Science</v>
      </c>
    </row>
    <row r="579" spans="1:72" x14ac:dyDescent="0.15">
      <c r="A579" t="s">
        <v>72</v>
      </c>
      <c r="B579" t="s">
        <v>7088</v>
      </c>
      <c r="C579" t="s">
        <v>74</v>
      </c>
      <c r="D579" t="s">
        <v>74</v>
      </c>
      <c r="E579" t="s">
        <v>74</v>
      </c>
      <c r="F579" t="s">
        <v>7088</v>
      </c>
      <c r="G579" t="s">
        <v>74</v>
      </c>
      <c r="H579" t="s">
        <v>74</v>
      </c>
      <c r="I579" t="s">
        <v>7089</v>
      </c>
      <c r="J579" t="s">
        <v>211</v>
      </c>
      <c r="K579" t="s">
        <v>74</v>
      </c>
      <c r="L579" t="s">
        <v>74</v>
      </c>
      <c r="M579" t="s">
        <v>77</v>
      </c>
      <c r="N579" t="s">
        <v>78</v>
      </c>
      <c r="O579" t="s">
        <v>74</v>
      </c>
      <c r="P579" t="s">
        <v>74</v>
      </c>
      <c r="Q579" t="s">
        <v>74</v>
      </c>
      <c r="R579" t="s">
        <v>74</v>
      </c>
      <c r="S579" t="s">
        <v>74</v>
      </c>
      <c r="T579" t="s">
        <v>7090</v>
      </c>
      <c r="U579" t="s">
        <v>7091</v>
      </c>
      <c r="V579" t="s">
        <v>7092</v>
      </c>
      <c r="W579" t="s">
        <v>7093</v>
      </c>
      <c r="X579" t="s">
        <v>74</v>
      </c>
      <c r="Y579" t="s">
        <v>7094</v>
      </c>
      <c r="Z579" t="s">
        <v>74</v>
      </c>
      <c r="AA579" t="s">
        <v>7095</v>
      </c>
      <c r="AB579" t="s">
        <v>7096</v>
      </c>
      <c r="AC579" t="s">
        <v>74</v>
      </c>
      <c r="AD579" t="s">
        <v>74</v>
      </c>
      <c r="AE579" t="s">
        <v>74</v>
      </c>
      <c r="AF579" t="s">
        <v>74</v>
      </c>
      <c r="AG579">
        <v>11</v>
      </c>
      <c r="AH579">
        <v>7</v>
      </c>
      <c r="AI579">
        <v>8</v>
      </c>
      <c r="AJ579">
        <v>0</v>
      </c>
      <c r="AK579">
        <v>6</v>
      </c>
      <c r="AL579" t="s">
        <v>213</v>
      </c>
      <c r="AM579" t="s">
        <v>214</v>
      </c>
      <c r="AN579" t="s">
        <v>215</v>
      </c>
      <c r="AO579" t="s">
        <v>216</v>
      </c>
      <c r="AP579" t="s">
        <v>74</v>
      </c>
      <c r="AQ579" t="s">
        <v>74</v>
      </c>
      <c r="AR579" t="s">
        <v>217</v>
      </c>
      <c r="AS579" t="s">
        <v>218</v>
      </c>
      <c r="AT579" t="s">
        <v>7021</v>
      </c>
      <c r="AU579">
        <v>1997</v>
      </c>
      <c r="AV579">
        <v>9</v>
      </c>
      <c r="AW579">
        <v>4</v>
      </c>
      <c r="AX579" t="s">
        <v>74</v>
      </c>
      <c r="AY579" t="s">
        <v>74</v>
      </c>
      <c r="AZ579" t="s">
        <v>74</v>
      </c>
      <c r="BA579" t="s">
        <v>74</v>
      </c>
      <c r="BB579">
        <v>414</v>
      </c>
      <c r="BC579">
        <v>417</v>
      </c>
      <c r="BD579" t="s">
        <v>74</v>
      </c>
      <c r="BE579" t="s">
        <v>74</v>
      </c>
      <c r="BF579" t="s">
        <v>74</v>
      </c>
      <c r="BG579" t="s">
        <v>74</v>
      </c>
      <c r="BH579" t="s">
        <v>74</v>
      </c>
      <c r="BI579">
        <v>4</v>
      </c>
      <c r="BJ579" t="s">
        <v>220</v>
      </c>
      <c r="BK579" t="s">
        <v>98</v>
      </c>
      <c r="BL579" t="s">
        <v>221</v>
      </c>
      <c r="BM579" t="s">
        <v>7023</v>
      </c>
      <c r="BN579" t="s">
        <v>74</v>
      </c>
      <c r="BO579" t="s">
        <v>74</v>
      </c>
      <c r="BP579" t="s">
        <v>74</v>
      </c>
      <c r="BQ579" t="s">
        <v>74</v>
      </c>
      <c r="BR579" t="s">
        <v>101</v>
      </c>
      <c r="BS579" t="s">
        <v>7097</v>
      </c>
      <c r="BT579" t="str">
        <f>HYPERLINK("https%3A%2F%2Fwww.webofscience.com%2Fwos%2Fwoscc%2Ffull-record%2FWOS:000074000500008","View Full Record in Web of Science")</f>
        <v>View Full Record in Web of Science</v>
      </c>
    </row>
    <row r="580" spans="1:72" x14ac:dyDescent="0.15">
      <c r="A580" t="s">
        <v>72</v>
      </c>
      <c r="B580" t="s">
        <v>7098</v>
      </c>
      <c r="C580" t="s">
        <v>74</v>
      </c>
      <c r="D580" t="s">
        <v>74</v>
      </c>
      <c r="E580" t="s">
        <v>74</v>
      </c>
      <c r="F580" t="s">
        <v>7098</v>
      </c>
      <c r="G580" t="s">
        <v>74</v>
      </c>
      <c r="H580" t="s">
        <v>74</v>
      </c>
      <c r="I580" t="s">
        <v>7099</v>
      </c>
      <c r="J580" t="s">
        <v>211</v>
      </c>
      <c r="K580" t="s">
        <v>74</v>
      </c>
      <c r="L580" t="s">
        <v>74</v>
      </c>
      <c r="M580" t="s">
        <v>77</v>
      </c>
      <c r="N580" t="s">
        <v>78</v>
      </c>
      <c r="O580" t="s">
        <v>74</v>
      </c>
      <c r="P580" t="s">
        <v>74</v>
      </c>
      <c r="Q580" t="s">
        <v>74</v>
      </c>
      <c r="R580" t="s">
        <v>74</v>
      </c>
      <c r="S580" t="s">
        <v>74</v>
      </c>
      <c r="T580" t="s">
        <v>7100</v>
      </c>
      <c r="U580" t="s">
        <v>7101</v>
      </c>
      <c r="V580" t="s">
        <v>7102</v>
      </c>
      <c r="W580" t="s">
        <v>7103</v>
      </c>
      <c r="X580" t="s">
        <v>7104</v>
      </c>
      <c r="Y580" t="s">
        <v>7105</v>
      </c>
      <c r="Z580" t="s">
        <v>74</v>
      </c>
      <c r="AA580" t="s">
        <v>74</v>
      </c>
      <c r="AB580" t="s">
        <v>74</v>
      </c>
      <c r="AC580" t="s">
        <v>74</v>
      </c>
      <c r="AD580" t="s">
        <v>74</v>
      </c>
      <c r="AE580" t="s">
        <v>74</v>
      </c>
      <c r="AF580" t="s">
        <v>74</v>
      </c>
      <c r="AG580">
        <v>37</v>
      </c>
      <c r="AH580">
        <v>26</v>
      </c>
      <c r="AI580">
        <v>30</v>
      </c>
      <c r="AJ580">
        <v>1</v>
      </c>
      <c r="AK580">
        <v>2</v>
      </c>
      <c r="AL580" t="s">
        <v>213</v>
      </c>
      <c r="AM580" t="s">
        <v>214</v>
      </c>
      <c r="AN580" t="s">
        <v>215</v>
      </c>
      <c r="AO580" t="s">
        <v>216</v>
      </c>
      <c r="AP580" t="s">
        <v>74</v>
      </c>
      <c r="AQ580" t="s">
        <v>74</v>
      </c>
      <c r="AR580" t="s">
        <v>217</v>
      </c>
      <c r="AS580" t="s">
        <v>218</v>
      </c>
      <c r="AT580" t="s">
        <v>7021</v>
      </c>
      <c r="AU580">
        <v>1997</v>
      </c>
      <c r="AV580">
        <v>9</v>
      </c>
      <c r="AW580">
        <v>4</v>
      </c>
      <c r="AX580" t="s">
        <v>74</v>
      </c>
      <c r="AY580" t="s">
        <v>74</v>
      </c>
      <c r="AZ580" t="s">
        <v>74</v>
      </c>
      <c r="BA580" t="s">
        <v>74</v>
      </c>
      <c r="BB580">
        <v>418</v>
      </c>
      <c r="BC580">
        <v>425</v>
      </c>
      <c r="BD580" t="s">
        <v>74</v>
      </c>
      <c r="BE580" t="s">
        <v>7106</v>
      </c>
      <c r="BF580" t="str">
        <f>HYPERLINK("http://dx.doi.org/10.1017/S0954102097000540","http://dx.doi.org/10.1017/S0954102097000540")</f>
        <v>http://dx.doi.org/10.1017/S0954102097000540</v>
      </c>
      <c r="BG580" t="s">
        <v>74</v>
      </c>
      <c r="BH580" t="s">
        <v>74</v>
      </c>
      <c r="BI580">
        <v>8</v>
      </c>
      <c r="BJ580" t="s">
        <v>220</v>
      </c>
      <c r="BK580" t="s">
        <v>98</v>
      </c>
      <c r="BL580" t="s">
        <v>221</v>
      </c>
      <c r="BM580" t="s">
        <v>7023</v>
      </c>
      <c r="BN580" t="s">
        <v>74</v>
      </c>
      <c r="BO580" t="s">
        <v>74</v>
      </c>
      <c r="BP580" t="s">
        <v>74</v>
      </c>
      <c r="BQ580" t="s">
        <v>74</v>
      </c>
      <c r="BR580" t="s">
        <v>101</v>
      </c>
      <c r="BS580" t="s">
        <v>7107</v>
      </c>
      <c r="BT580" t="str">
        <f>HYPERLINK("https%3A%2F%2Fwww.webofscience.com%2Fwos%2Fwoscc%2Ffull-record%2FWOS:000074000500009","View Full Record in Web of Science")</f>
        <v>View Full Record in Web of Science</v>
      </c>
    </row>
    <row r="581" spans="1:72" x14ac:dyDescent="0.15">
      <c r="A581" t="s">
        <v>72</v>
      </c>
      <c r="B581" t="s">
        <v>7108</v>
      </c>
      <c r="C581" t="s">
        <v>74</v>
      </c>
      <c r="D581" t="s">
        <v>74</v>
      </c>
      <c r="E581" t="s">
        <v>74</v>
      </c>
      <c r="F581" t="s">
        <v>7108</v>
      </c>
      <c r="G581" t="s">
        <v>74</v>
      </c>
      <c r="H581" t="s">
        <v>74</v>
      </c>
      <c r="I581" t="s">
        <v>7109</v>
      </c>
      <c r="J581" t="s">
        <v>211</v>
      </c>
      <c r="K581" t="s">
        <v>74</v>
      </c>
      <c r="L581" t="s">
        <v>74</v>
      </c>
      <c r="M581" t="s">
        <v>77</v>
      </c>
      <c r="N581" t="s">
        <v>78</v>
      </c>
      <c r="O581" t="s">
        <v>74</v>
      </c>
      <c r="P581" t="s">
        <v>74</v>
      </c>
      <c r="Q581" t="s">
        <v>74</v>
      </c>
      <c r="R581" t="s">
        <v>74</v>
      </c>
      <c r="S581" t="s">
        <v>74</v>
      </c>
      <c r="T581" t="s">
        <v>7110</v>
      </c>
      <c r="U581" t="s">
        <v>7111</v>
      </c>
      <c r="V581" t="s">
        <v>7112</v>
      </c>
      <c r="W581" t="s">
        <v>7113</v>
      </c>
      <c r="X581" t="s">
        <v>7114</v>
      </c>
      <c r="Y581" t="s">
        <v>7115</v>
      </c>
      <c r="Z581" t="s">
        <v>74</v>
      </c>
      <c r="AA581" t="s">
        <v>7116</v>
      </c>
      <c r="AB581" t="s">
        <v>7117</v>
      </c>
      <c r="AC581" t="s">
        <v>74</v>
      </c>
      <c r="AD581" t="s">
        <v>74</v>
      </c>
      <c r="AE581" t="s">
        <v>74</v>
      </c>
      <c r="AF581" t="s">
        <v>74</v>
      </c>
      <c r="AG581">
        <v>32</v>
      </c>
      <c r="AH581">
        <v>53</v>
      </c>
      <c r="AI581">
        <v>55</v>
      </c>
      <c r="AJ581">
        <v>0</v>
      </c>
      <c r="AK581">
        <v>5</v>
      </c>
      <c r="AL581" t="s">
        <v>213</v>
      </c>
      <c r="AM581" t="s">
        <v>214</v>
      </c>
      <c r="AN581" t="s">
        <v>215</v>
      </c>
      <c r="AO581" t="s">
        <v>216</v>
      </c>
      <c r="AP581" t="s">
        <v>74</v>
      </c>
      <c r="AQ581" t="s">
        <v>74</v>
      </c>
      <c r="AR581" t="s">
        <v>217</v>
      </c>
      <c r="AS581" t="s">
        <v>218</v>
      </c>
      <c r="AT581" t="s">
        <v>7021</v>
      </c>
      <c r="AU581">
        <v>1997</v>
      </c>
      <c r="AV581">
        <v>9</v>
      </c>
      <c r="AW581">
        <v>4</v>
      </c>
      <c r="AX581" t="s">
        <v>74</v>
      </c>
      <c r="AY581" t="s">
        <v>74</v>
      </c>
      <c r="AZ581" t="s">
        <v>74</v>
      </c>
      <c r="BA581" t="s">
        <v>74</v>
      </c>
      <c r="BB581">
        <v>426</v>
      </c>
      <c r="BC581">
        <v>433</v>
      </c>
      <c r="BD581" t="s">
        <v>74</v>
      </c>
      <c r="BE581" t="s">
        <v>7118</v>
      </c>
      <c r="BF581" t="str">
        <f>HYPERLINK("http://dx.doi.org/10.1017/S0954102097000552","http://dx.doi.org/10.1017/S0954102097000552")</f>
        <v>http://dx.doi.org/10.1017/S0954102097000552</v>
      </c>
      <c r="BG581" t="s">
        <v>74</v>
      </c>
      <c r="BH581" t="s">
        <v>74</v>
      </c>
      <c r="BI581">
        <v>8</v>
      </c>
      <c r="BJ581" t="s">
        <v>220</v>
      </c>
      <c r="BK581" t="s">
        <v>98</v>
      </c>
      <c r="BL581" t="s">
        <v>221</v>
      </c>
      <c r="BM581" t="s">
        <v>7023</v>
      </c>
      <c r="BN581" t="s">
        <v>74</v>
      </c>
      <c r="BO581" t="s">
        <v>74</v>
      </c>
      <c r="BP581" t="s">
        <v>74</v>
      </c>
      <c r="BQ581" t="s">
        <v>74</v>
      </c>
      <c r="BR581" t="s">
        <v>101</v>
      </c>
      <c r="BS581" t="s">
        <v>7119</v>
      </c>
      <c r="BT581" t="str">
        <f>HYPERLINK("https%3A%2F%2Fwww.webofscience.com%2Fwos%2Fwoscc%2Ffull-record%2FWOS:000074000500010","View Full Record in Web of Science")</f>
        <v>View Full Record in Web of Science</v>
      </c>
    </row>
    <row r="582" spans="1:72" x14ac:dyDescent="0.15">
      <c r="A582" t="s">
        <v>72</v>
      </c>
      <c r="B582" t="s">
        <v>7120</v>
      </c>
      <c r="C582" t="s">
        <v>74</v>
      </c>
      <c r="D582" t="s">
        <v>74</v>
      </c>
      <c r="E582" t="s">
        <v>74</v>
      </c>
      <c r="F582" t="s">
        <v>7120</v>
      </c>
      <c r="G582" t="s">
        <v>74</v>
      </c>
      <c r="H582" t="s">
        <v>74</v>
      </c>
      <c r="I582" t="s">
        <v>7121</v>
      </c>
      <c r="J582" t="s">
        <v>211</v>
      </c>
      <c r="K582" t="s">
        <v>74</v>
      </c>
      <c r="L582" t="s">
        <v>74</v>
      </c>
      <c r="M582" t="s">
        <v>77</v>
      </c>
      <c r="N582" t="s">
        <v>78</v>
      </c>
      <c r="O582" t="s">
        <v>74</v>
      </c>
      <c r="P582" t="s">
        <v>74</v>
      </c>
      <c r="Q582" t="s">
        <v>74</v>
      </c>
      <c r="R582" t="s">
        <v>74</v>
      </c>
      <c r="S582" t="s">
        <v>74</v>
      </c>
      <c r="T582" t="s">
        <v>7122</v>
      </c>
      <c r="U582" t="s">
        <v>7123</v>
      </c>
      <c r="V582" t="s">
        <v>7124</v>
      </c>
      <c r="W582" t="s">
        <v>372</v>
      </c>
      <c r="X582" t="s">
        <v>322</v>
      </c>
      <c r="Y582" t="s">
        <v>7125</v>
      </c>
      <c r="Z582" t="s">
        <v>74</v>
      </c>
      <c r="AA582" t="s">
        <v>1486</v>
      </c>
      <c r="AB582" t="s">
        <v>7126</v>
      </c>
      <c r="AC582" t="s">
        <v>74</v>
      </c>
      <c r="AD582" t="s">
        <v>74</v>
      </c>
      <c r="AE582" t="s">
        <v>74</v>
      </c>
      <c r="AF582" t="s">
        <v>74</v>
      </c>
      <c r="AG582">
        <v>35</v>
      </c>
      <c r="AH582">
        <v>25</v>
      </c>
      <c r="AI582">
        <v>33</v>
      </c>
      <c r="AJ582">
        <v>0</v>
      </c>
      <c r="AK582">
        <v>0</v>
      </c>
      <c r="AL582" t="s">
        <v>213</v>
      </c>
      <c r="AM582" t="s">
        <v>214</v>
      </c>
      <c r="AN582" t="s">
        <v>215</v>
      </c>
      <c r="AO582" t="s">
        <v>216</v>
      </c>
      <c r="AP582" t="s">
        <v>74</v>
      </c>
      <c r="AQ582" t="s">
        <v>74</v>
      </c>
      <c r="AR582" t="s">
        <v>217</v>
      </c>
      <c r="AS582" t="s">
        <v>218</v>
      </c>
      <c r="AT582" t="s">
        <v>7021</v>
      </c>
      <c r="AU582">
        <v>1997</v>
      </c>
      <c r="AV582">
        <v>9</v>
      </c>
      <c r="AW582">
        <v>4</v>
      </c>
      <c r="AX582" t="s">
        <v>74</v>
      </c>
      <c r="AY582" t="s">
        <v>74</v>
      </c>
      <c r="AZ582" t="s">
        <v>74</v>
      </c>
      <c r="BA582" t="s">
        <v>74</v>
      </c>
      <c r="BB582">
        <v>434</v>
      </c>
      <c r="BC582">
        <v>442</v>
      </c>
      <c r="BD582" t="s">
        <v>74</v>
      </c>
      <c r="BE582" t="s">
        <v>7127</v>
      </c>
      <c r="BF582" t="str">
        <f>HYPERLINK("http://dx.doi.org/10.1017/S0954102097000564","http://dx.doi.org/10.1017/S0954102097000564")</f>
        <v>http://dx.doi.org/10.1017/S0954102097000564</v>
      </c>
      <c r="BG582" t="s">
        <v>74</v>
      </c>
      <c r="BH582" t="s">
        <v>74</v>
      </c>
      <c r="BI582">
        <v>9</v>
      </c>
      <c r="BJ582" t="s">
        <v>220</v>
      </c>
      <c r="BK582" t="s">
        <v>98</v>
      </c>
      <c r="BL582" t="s">
        <v>221</v>
      </c>
      <c r="BM582" t="s">
        <v>7023</v>
      </c>
      <c r="BN582" t="s">
        <v>74</v>
      </c>
      <c r="BO582" t="s">
        <v>74</v>
      </c>
      <c r="BP582" t="s">
        <v>74</v>
      </c>
      <c r="BQ582" t="s">
        <v>74</v>
      </c>
      <c r="BR582" t="s">
        <v>101</v>
      </c>
      <c r="BS582" t="s">
        <v>7128</v>
      </c>
      <c r="BT582" t="str">
        <f>HYPERLINK("https%3A%2F%2Fwww.webofscience.com%2Fwos%2Fwoscc%2Ffull-record%2FWOS:000074000500011","View Full Record in Web of Science")</f>
        <v>View Full Record in Web of Science</v>
      </c>
    </row>
    <row r="583" spans="1:72" x14ac:dyDescent="0.15">
      <c r="A583" t="s">
        <v>72</v>
      </c>
      <c r="B583" t="s">
        <v>7129</v>
      </c>
      <c r="C583" t="s">
        <v>74</v>
      </c>
      <c r="D583" t="s">
        <v>74</v>
      </c>
      <c r="E583" t="s">
        <v>74</v>
      </c>
      <c r="F583" t="s">
        <v>7129</v>
      </c>
      <c r="G583" t="s">
        <v>74</v>
      </c>
      <c r="H583" t="s">
        <v>74</v>
      </c>
      <c r="I583" t="s">
        <v>7130</v>
      </c>
      <c r="J583" t="s">
        <v>211</v>
      </c>
      <c r="K583" t="s">
        <v>74</v>
      </c>
      <c r="L583" t="s">
        <v>74</v>
      </c>
      <c r="M583" t="s">
        <v>77</v>
      </c>
      <c r="N583" t="s">
        <v>78</v>
      </c>
      <c r="O583" t="s">
        <v>74</v>
      </c>
      <c r="P583" t="s">
        <v>74</v>
      </c>
      <c r="Q583" t="s">
        <v>74</v>
      </c>
      <c r="R583" t="s">
        <v>74</v>
      </c>
      <c r="S583" t="s">
        <v>74</v>
      </c>
      <c r="T583" t="s">
        <v>74</v>
      </c>
      <c r="U583" t="s">
        <v>74</v>
      </c>
      <c r="V583" t="s">
        <v>74</v>
      </c>
      <c r="W583" t="s">
        <v>6105</v>
      </c>
      <c r="X583" t="s">
        <v>6106</v>
      </c>
      <c r="Y583" t="s">
        <v>7131</v>
      </c>
      <c r="Z583" t="s">
        <v>74</v>
      </c>
      <c r="AA583" t="s">
        <v>74</v>
      </c>
      <c r="AB583" t="s">
        <v>74</v>
      </c>
      <c r="AC583" t="s">
        <v>74</v>
      </c>
      <c r="AD583" t="s">
        <v>74</v>
      </c>
      <c r="AE583" t="s">
        <v>74</v>
      </c>
      <c r="AF583" t="s">
        <v>74</v>
      </c>
      <c r="AG583">
        <v>6</v>
      </c>
      <c r="AH583">
        <v>12</v>
      </c>
      <c r="AI583">
        <v>14</v>
      </c>
      <c r="AJ583">
        <v>0</v>
      </c>
      <c r="AK583">
        <v>0</v>
      </c>
      <c r="AL583" t="s">
        <v>213</v>
      </c>
      <c r="AM583" t="s">
        <v>214</v>
      </c>
      <c r="AN583" t="s">
        <v>215</v>
      </c>
      <c r="AO583" t="s">
        <v>216</v>
      </c>
      <c r="AP583" t="s">
        <v>74</v>
      </c>
      <c r="AQ583" t="s">
        <v>74</v>
      </c>
      <c r="AR583" t="s">
        <v>217</v>
      </c>
      <c r="AS583" t="s">
        <v>218</v>
      </c>
      <c r="AT583" t="s">
        <v>7021</v>
      </c>
      <c r="AU583">
        <v>1997</v>
      </c>
      <c r="AV583">
        <v>9</v>
      </c>
      <c r="AW583">
        <v>4</v>
      </c>
      <c r="AX583" t="s">
        <v>74</v>
      </c>
      <c r="AY583" t="s">
        <v>74</v>
      </c>
      <c r="AZ583" t="s">
        <v>74</v>
      </c>
      <c r="BA583" t="s">
        <v>74</v>
      </c>
      <c r="BB583">
        <v>443</v>
      </c>
      <c r="BC583">
        <v>444</v>
      </c>
      <c r="BD583" t="s">
        <v>74</v>
      </c>
      <c r="BE583" t="s">
        <v>74</v>
      </c>
      <c r="BF583" t="s">
        <v>74</v>
      </c>
      <c r="BG583" t="s">
        <v>74</v>
      </c>
      <c r="BH583" t="s">
        <v>74</v>
      </c>
      <c r="BI583">
        <v>2</v>
      </c>
      <c r="BJ583" t="s">
        <v>220</v>
      </c>
      <c r="BK583" t="s">
        <v>98</v>
      </c>
      <c r="BL583" t="s">
        <v>221</v>
      </c>
      <c r="BM583" t="s">
        <v>7023</v>
      </c>
      <c r="BN583" t="s">
        <v>74</v>
      </c>
      <c r="BO583" t="s">
        <v>74</v>
      </c>
      <c r="BP583" t="s">
        <v>74</v>
      </c>
      <c r="BQ583" t="s">
        <v>74</v>
      </c>
      <c r="BR583" t="s">
        <v>101</v>
      </c>
      <c r="BS583" t="s">
        <v>7132</v>
      </c>
      <c r="BT583" t="str">
        <f>HYPERLINK("https%3A%2F%2Fwww.webofscience.com%2Fwos%2Fwoscc%2Ffull-record%2FWOS:000074000500012","View Full Record in Web of Science")</f>
        <v>View Full Record in Web of Science</v>
      </c>
    </row>
    <row r="584" spans="1:72" x14ac:dyDescent="0.15">
      <c r="A584" t="s">
        <v>72</v>
      </c>
      <c r="B584" t="s">
        <v>7133</v>
      </c>
      <c r="C584" t="s">
        <v>74</v>
      </c>
      <c r="D584" t="s">
        <v>74</v>
      </c>
      <c r="E584" t="s">
        <v>74</v>
      </c>
      <c r="F584" t="s">
        <v>7133</v>
      </c>
      <c r="G584" t="s">
        <v>74</v>
      </c>
      <c r="H584" t="s">
        <v>74</v>
      </c>
      <c r="I584" t="s">
        <v>7134</v>
      </c>
      <c r="J584" t="s">
        <v>211</v>
      </c>
      <c r="K584" t="s">
        <v>74</v>
      </c>
      <c r="L584" t="s">
        <v>74</v>
      </c>
      <c r="M584" t="s">
        <v>77</v>
      </c>
      <c r="N584" t="s">
        <v>78</v>
      </c>
      <c r="O584" t="s">
        <v>74</v>
      </c>
      <c r="P584" t="s">
        <v>74</v>
      </c>
      <c r="Q584" t="s">
        <v>74</v>
      </c>
      <c r="R584" t="s">
        <v>74</v>
      </c>
      <c r="S584" t="s">
        <v>74</v>
      </c>
      <c r="T584" t="s">
        <v>7135</v>
      </c>
      <c r="U584" t="s">
        <v>7136</v>
      </c>
      <c r="V584" t="s">
        <v>7137</v>
      </c>
      <c r="W584" t="s">
        <v>7138</v>
      </c>
      <c r="X584" t="s">
        <v>7139</v>
      </c>
      <c r="Y584" t="s">
        <v>7140</v>
      </c>
      <c r="Z584" t="s">
        <v>74</v>
      </c>
      <c r="AA584" t="s">
        <v>74</v>
      </c>
      <c r="AB584" t="s">
        <v>3404</v>
      </c>
      <c r="AC584" t="s">
        <v>74</v>
      </c>
      <c r="AD584" t="s">
        <v>74</v>
      </c>
      <c r="AE584" t="s">
        <v>74</v>
      </c>
      <c r="AF584" t="s">
        <v>74</v>
      </c>
      <c r="AG584">
        <v>53</v>
      </c>
      <c r="AH584">
        <v>9</v>
      </c>
      <c r="AI584">
        <v>10</v>
      </c>
      <c r="AJ584">
        <v>0</v>
      </c>
      <c r="AK584">
        <v>2</v>
      </c>
      <c r="AL584" t="s">
        <v>243</v>
      </c>
      <c r="AM584" t="s">
        <v>244</v>
      </c>
      <c r="AN584" t="s">
        <v>245</v>
      </c>
      <c r="AO584" t="s">
        <v>216</v>
      </c>
      <c r="AP584" t="s">
        <v>293</v>
      </c>
      <c r="AQ584" t="s">
        <v>74</v>
      </c>
      <c r="AR584" t="s">
        <v>217</v>
      </c>
      <c r="AS584" t="s">
        <v>218</v>
      </c>
      <c r="AT584" t="s">
        <v>7021</v>
      </c>
      <c r="AU584">
        <v>1997</v>
      </c>
      <c r="AV584">
        <v>9</v>
      </c>
      <c r="AW584">
        <v>4</v>
      </c>
      <c r="AX584" t="s">
        <v>74</v>
      </c>
      <c r="AY584" t="s">
        <v>74</v>
      </c>
      <c r="AZ584" t="s">
        <v>74</v>
      </c>
      <c r="BA584" t="s">
        <v>74</v>
      </c>
      <c r="BB584">
        <v>445</v>
      </c>
      <c r="BC584">
        <v>455</v>
      </c>
      <c r="BD584" t="s">
        <v>74</v>
      </c>
      <c r="BE584" t="s">
        <v>7141</v>
      </c>
      <c r="BF584" t="str">
        <f>HYPERLINK("http://dx.doi.org/10.1017/S0954102097000588","http://dx.doi.org/10.1017/S0954102097000588")</f>
        <v>http://dx.doi.org/10.1017/S0954102097000588</v>
      </c>
      <c r="BG584" t="s">
        <v>74</v>
      </c>
      <c r="BH584" t="s">
        <v>74</v>
      </c>
      <c r="BI584">
        <v>11</v>
      </c>
      <c r="BJ584" t="s">
        <v>220</v>
      </c>
      <c r="BK584" t="s">
        <v>98</v>
      </c>
      <c r="BL584" t="s">
        <v>221</v>
      </c>
      <c r="BM584" t="s">
        <v>7023</v>
      </c>
      <c r="BN584" t="s">
        <v>74</v>
      </c>
      <c r="BO584" t="s">
        <v>74</v>
      </c>
      <c r="BP584" t="s">
        <v>74</v>
      </c>
      <c r="BQ584" t="s">
        <v>74</v>
      </c>
      <c r="BR584" t="s">
        <v>101</v>
      </c>
      <c r="BS584" t="s">
        <v>7142</v>
      </c>
      <c r="BT584" t="str">
        <f>HYPERLINK("https%3A%2F%2Fwww.webofscience.com%2Fwos%2Fwoscc%2Ffull-record%2FWOS:000074000500013","View Full Record in Web of Science")</f>
        <v>View Full Record in Web of Science</v>
      </c>
    </row>
    <row r="585" spans="1:72" x14ac:dyDescent="0.15">
      <c r="A585" t="s">
        <v>72</v>
      </c>
      <c r="B585" t="s">
        <v>7143</v>
      </c>
      <c r="C585" t="s">
        <v>74</v>
      </c>
      <c r="D585" t="s">
        <v>74</v>
      </c>
      <c r="E585" t="s">
        <v>74</v>
      </c>
      <c r="F585" t="s">
        <v>7143</v>
      </c>
      <c r="G585" t="s">
        <v>74</v>
      </c>
      <c r="H585" t="s">
        <v>74</v>
      </c>
      <c r="I585" t="s">
        <v>7144</v>
      </c>
      <c r="J585" t="s">
        <v>7145</v>
      </c>
      <c r="K585" t="s">
        <v>74</v>
      </c>
      <c r="L585" t="s">
        <v>74</v>
      </c>
      <c r="M585" t="s">
        <v>77</v>
      </c>
      <c r="N585" t="s">
        <v>78</v>
      </c>
      <c r="O585" t="s">
        <v>74</v>
      </c>
      <c r="P585" t="s">
        <v>74</v>
      </c>
      <c r="Q585" t="s">
        <v>74</v>
      </c>
      <c r="R585" t="s">
        <v>74</v>
      </c>
      <c r="S585" t="s">
        <v>74</v>
      </c>
      <c r="T585" t="s">
        <v>7146</v>
      </c>
      <c r="U585" t="s">
        <v>74</v>
      </c>
      <c r="V585" t="s">
        <v>74</v>
      </c>
      <c r="W585" t="s">
        <v>7147</v>
      </c>
      <c r="X585" t="s">
        <v>7148</v>
      </c>
      <c r="Y585" t="s">
        <v>7149</v>
      </c>
      <c r="Z585" t="s">
        <v>74</v>
      </c>
      <c r="AA585" t="s">
        <v>7150</v>
      </c>
      <c r="AB585" t="s">
        <v>74</v>
      </c>
      <c r="AC585" t="s">
        <v>74</v>
      </c>
      <c r="AD585" t="s">
        <v>74</v>
      </c>
      <c r="AE585" t="s">
        <v>74</v>
      </c>
      <c r="AF585" t="s">
        <v>74</v>
      </c>
      <c r="AG585">
        <v>16</v>
      </c>
      <c r="AH585">
        <v>14</v>
      </c>
      <c r="AI585">
        <v>15</v>
      </c>
      <c r="AJ585">
        <v>1</v>
      </c>
      <c r="AK585">
        <v>11</v>
      </c>
      <c r="AL585" t="s">
        <v>451</v>
      </c>
      <c r="AM585" t="s">
        <v>214</v>
      </c>
      <c r="AN585" t="s">
        <v>7151</v>
      </c>
      <c r="AO585" t="s">
        <v>7152</v>
      </c>
      <c r="AP585" t="s">
        <v>74</v>
      </c>
      <c r="AQ585" t="s">
        <v>74</v>
      </c>
      <c r="AR585" t="s">
        <v>7153</v>
      </c>
      <c r="AS585" t="s">
        <v>7154</v>
      </c>
      <c r="AT585" t="s">
        <v>7021</v>
      </c>
      <c r="AU585">
        <v>1997</v>
      </c>
      <c r="AV585">
        <v>31</v>
      </c>
      <c r="AW585">
        <v>23</v>
      </c>
      <c r="AX585" t="s">
        <v>74</v>
      </c>
      <c r="AY585" t="s">
        <v>74</v>
      </c>
      <c r="AZ585" t="s">
        <v>74</v>
      </c>
      <c r="BA585" t="s">
        <v>74</v>
      </c>
      <c r="BB585">
        <v>4039</v>
      </c>
      <c r="BC585">
        <v>4044</v>
      </c>
      <c r="BD585" t="s">
        <v>74</v>
      </c>
      <c r="BE585" t="s">
        <v>7155</v>
      </c>
      <c r="BF585" t="str">
        <f>HYPERLINK("http://dx.doi.org/10.1016/S1352-2310(97)00250-1","http://dx.doi.org/10.1016/S1352-2310(97)00250-1")</f>
        <v>http://dx.doi.org/10.1016/S1352-2310(97)00250-1</v>
      </c>
      <c r="BG585" t="s">
        <v>74</v>
      </c>
      <c r="BH585" t="s">
        <v>74</v>
      </c>
      <c r="BI585">
        <v>6</v>
      </c>
      <c r="BJ585" t="s">
        <v>5017</v>
      </c>
      <c r="BK585" t="s">
        <v>98</v>
      </c>
      <c r="BL585" t="s">
        <v>5018</v>
      </c>
      <c r="BM585" t="s">
        <v>7156</v>
      </c>
      <c r="BN585" t="s">
        <v>74</v>
      </c>
      <c r="BO585" t="s">
        <v>74</v>
      </c>
      <c r="BP585" t="s">
        <v>74</v>
      </c>
      <c r="BQ585" t="s">
        <v>74</v>
      </c>
      <c r="BR585" t="s">
        <v>101</v>
      </c>
      <c r="BS585" t="s">
        <v>7157</v>
      </c>
      <c r="BT585" t="str">
        <f>HYPERLINK("https%3A%2F%2Fwww.webofscience.com%2Fwos%2Fwoscc%2Ffull-record%2FWOS:A1997XZ76000017","View Full Record in Web of Science")</f>
        <v>View Full Record in Web of Science</v>
      </c>
    </row>
    <row r="586" spans="1:72" x14ac:dyDescent="0.15">
      <c r="A586" t="s">
        <v>72</v>
      </c>
      <c r="B586" t="s">
        <v>7158</v>
      </c>
      <c r="C586" t="s">
        <v>74</v>
      </c>
      <c r="D586" t="s">
        <v>74</v>
      </c>
      <c r="E586" t="s">
        <v>74</v>
      </c>
      <c r="F586" t="s">
        <v>7158</v>
      </c>
      <c r="G586" t="s">
        <v>74</v>
      </c>
      <c r="H586" t="s">
        <v>74</v>
      </c>
      <c r="I586" t="s">
        <v>7159</v>
      </c>
      <c r="J586" t="s">
        <v>7160</v>
      </c>
      <c r="K586" t="s">
        <v>74</v>
      </c>
      <c r="L586" t="s">
        <v>74</v>
      </c>
      <c r="M586" t="s">
        <v>77</v>
      </c>
      <c r="N586" t="s">
        <v>78</v>
      </c>
      <c r="O586" t="s">
        <v>74</v>
      </c>
      <c r="P586" t="s">
        <v>74</v>
      </c>
      <c r="Q586" t="s">
        <v>74</v>
      </c>
      <c r="R586" t="s">
        <v>74</v>
      </c>
      <c r="S586" t="s">
        <v>74</v>
      </c>
      <c r="T586" t="s">
        <v>74</v>
      </c>
      <c r="U586" t="s">
        <v>7161</v>
      </c>
      <c r="V586" t="s">
        <v>7162</v>
      </c>
      <c r="W586" t="s">
        <v>7163</v>
      </c>
      <c r="X586" t="s">
        <v>7164</v>
      </c>
      <c r="Y586" t="s">
        <v>7165</v>
      </c>
      <c r="Z586" t="s">
        <v>74</v>
      </c>
      <c r="AA586" t="s">
        <v>74</v>
      </c>
      <c r="AB586" t="s">
        <v>74</v>
      </c>
      <c r="AC586" t="s">
        <v>74</v>
      </c>
      <c r="AD586" t="s">
        <v>74</v>
      </c>
      <c r="AE586" t="s">
        <v>74</v>
      </c>
      <c r="AF586" t="s">
        <v>74</v>
      </c>
      <c r="AG586">
        <v>6</v>
      </c>
      <c r="AH586">
        <v>8</v>
      </c>
      <c r="AI586">
        <v>9</v>
      </c>
      <c r="AJ586">
        <v>0</v>
      </c>
      <c r="AK586">
        <v>1</v>
      </c>
      <c r="AL586" t="s">
        <v>7166</v>
      </c>
      <c r="AM586" t="s">
        <v>7167</v>
      </c>
      <c r="AN586" t="s">
        <v>7168</v>
      </c>
      <c r="AO586" t="s">
        <v>7169</v>
      </c>
      <c r="AP586" t="s">
        <v>74</v>
      </c>
      <c r="AQ586" t="s">
        <v>74</v>
      </c>
      <c r="AR586" t="s">
        <v>7170</v>
      </c>
      <c r="AS586" t="s">
        <v>7171</v>
      </c>
      <c r="AT586" t="s">
        <v>7021</v>
      </c>
      <c r="AU586">
        <v>1997</v>
      </c>
      <c r="AV586">
        <v>46</v>
      </c>
      <c r="AW586">
        <v>4</v>
      </c>
      <c r="AX586" t="s">
        <v>74</v>
      </c>
      <c r="AY586" t="s">
        <v>74</v>
      </c>
      <c r="AZ586" t="s">
        <v>74</v>
      </c>
      <c r="BA586" t="s">
        <v>74</v>
      </c>
      <c r="BB586">
        <v>287</v>
      </c>
      <c r="BC586">
        <v>296</v>
      </c>
      <c r="BD586" t="s">
        <v>74</v>
      </c>
      <c r="BE586" t="s">
        <v>74</v>
      </c>
      <c r="BF586" t="s">
        <v>74</v>
      </c>
      <c r="BG586" t="s">
        <v>74</v>
      </c>
      <c r="BH586" t="s">
        <v>74</v>
      </c>
      <c r="BI586">
        <v>10</v>
      </c>
      <c r="BJ586" t="s">
        <v>635</v>
      </c>
      <c r="BK586" t="s">
        <v>98</v>
      </c>
      <c r="BL586" t="s">
        <v>635</v>
      </c>
      <c r="BM586" t="s">
        <v>7172</v>
      </c>
      <c r="BN586" t="s">
        <v>74</v>
      </c>
      <c r="BO586" t="s">
        <v>74</v>
      </c>
      <c r="BP586" t="s">
        <v>74</v>
      </c>
      <c r="BQ586" t="s">
        <v>74</v>
      </c>
      <c r="BR586" t="s">
        <v>101</v>
      </c>
      <c r="BS586" t="s">
        <v>7173</v>
      </c>
      <c r="BT586" t="str">
        <f>HYPERLINK("https%3A%2F%2Fwww.webofscience.com%2Fwos%2Fwoscc%2Ffull-record%2FWOS:000071394500005","View Full Record in Web of Science")</f>
        <v>View Full Record in Web of Science</v>
      </c>
    </row>
    <row r="587" spans="1:72" x14ac:dyDescent="0.15">
      <c r="A587" t="s">
        <v>72</v>
      </c>
      <c r="B587" t="s">
        <v>7174</v>
      </c>
      <c r="C587" t="s">
        <v>74</v>
      </c>
      <c r="D587" t="s">
        <v>74</v>
      </c>
      <c r="E587" t="s">
        <v>74</v>
      </c>
      <c r="F587" t="s">
        <v>7174</v>
      </c>
      <c r="G587" t="s">
        <v>74</v>
      </c>
      <c r="H587" t="s">
        <v>74</v>
      </c>
      <c r="I587" t="s">
        <v>7175</v>
      </c>
      <c r="J587" t="s">
        <v>3866</v>
      </c>
      <c r="K587" t="s">
        <v>74</v>
      </c>
      <c r="L587" t="s">
        <v>74</v>
      </c>
      <c r="M587" t="s">
        <v>77</v>
      </c>
      <c r="N587" t="s">
        <v>78</v>
      </c>
      <c r="O587" t="s">
        <v>74</v>
      </c>
      <c r="P587" t="s">
        <v>74</v>
      </c>
      <c r="Q587" t="s">
        <v>74</v>
      </c>
      <c r="R587" t="s">
        <v>74</v>
      </c>
      <c r="S587" t="s">
        <v>74</v>
      </c>
      <c r="T587" t="s">
        <v>74</v>
      </c>
      <c r="U587" t="s">
        <v>7176</v>
      </c>
      <c r="V587" t="s">
        <v>7177</v>
      </c>
      <c r="W587" t="s">
        <v>7178</v>
      </c>
      <c r="X587" t="s">
        <v>7179</v>
      </c>
      <c r="Y587" t="s">
        <v>74</v>
      </c>
      <c r="Z587" t="s">
        <v>74</v>
      </c>
      <c r="AA587" t="s">
        <v>74</v>
      </c>
      <c r="AB587" t="s">
        <v>74</v>
      </c>
      <c r="AC587" t="s">
        <v>74</v>
      </c>
      <c r="AD587" t="s">
        <v>74</v>
      </c>
      <c r="AE587" t="s">
        <v>74</v>
      </c>
      <c r="AF587" t="s">
        <v>74</v>
      </c>
      <c r="AG587">
        <v>20</v>
      </c>
      <c r="AH587">
        <v>17</v>
      </c>
      <c r="AI587">
        <v>19</v>
      </c>
      <c r="AJ587">
        <v>0</v>
      </c>
      <c r="AK587">
        <v>6</v>
      </c>
      <c r="AL587" t="s">
        <v>3872</v>
      </c>
      <c r="AM587" t="s">
        <v>3873</v>
      </c>
      <c r="AN587" t="s">
        <v>3874</v>
      </c>
      <c r="AO587" t="s">
        <v>3875</v>
      </c>
      <c r="AP587" t="s">
        <v>7180</v>
      </c>
      <c r="AQ587" t="s">
        <v>74</v>
      </c>
      <c r="AR587" t="s">
        <v>3876</v>
      </c>
      <c r="AS587" t="s">
        <v>3877</v>
      </c>
      <c r="AT587" t="s">
        <v>7021</v>
      </c>
      <c r="AU587">
        <v>1997</v>
      </c>
      <c r="AV587">
        <v>68</v>
      </c>
      <c r="AW587">
        <v>12</v>
      </c>
      <c r="AX587" t="s">
        <v>74</v>
      </c>
      <c r="AY587" t="s">
        <v>74</v>
      </c>
      <c r="AZ587" t="s">
        <v>74</v>
      </c>
      <c r="BA587" t="s">
        <v>74</v>
      </c>
      <c r="BB587">
        <v>1144</v>
      </c>
      <c r="BC587">
        <v>1149</v>
      </c>
      <c r="BD587" t="s">
        <v>74</v>
      </c>
      <c r="BE587" t="s">
        <v>74</v>
      </c>
      <c r="BF587" t="s">
        <v>74</v>
      </c>
      <c r="BG587" t="s">
        <v>74</v>
      </c>
      <c r="BH587" t="s">
        <v>74</v>
      </c>
      <c r="BI587">
        <v>6</v>
      </c>
      <c r="BJ587" t="s">
        <v>3878</v>
      </c>
      <c r="BK587" t="s">
        <v>98</v>
      </c>
      <c r="BL587" t="s">
        <v>3880</v>
      </c>
      <c r="BM587" t="s">
        <v>7181</v>
      </c>
      <c r="BN587">
        <v>9408567</v>
      </c>
      <c r="BO587" t="s">
        <v>74</v>
      </c>
      <c r="BP587" t="s">
        <v>74</v>
      </c>
      <c r="BQ587" t="s">
        <v>74</v>
      </c>
      <c r="BR587" t="s">
        <v>101</v>
      </c>
      <c r="BS587" t="s">
        <v>7182</v>
      </c>
      <c r="BT587" t="str">
        <f>HYPERLINK("https%3A%2F%2Fwww.webofscience.com%2Fwos%2Fwoscc%2Ffull-record%2FWOS:A1997YK92700013","View Full Record in Web of Science")</f>
        <v>View Full Record in Web of Science</v>
      </c>
    </row>
    <row r="588" spans="1:72" x14ac:dyDescent="0.15">
      <c r="A588" t="s">
        <v>72</v>
      </c>
      <c r="B588" t="s">
        <v>7183</v>
      </c>
      <c r="C588" t="s">
        <v>74</v>
      </c>
      <c r="D588" t="s">
        <v>74</v>
      </c>
      <c r="E588" t="s">
        <v>74</v>
      </c>
      <c r="F588" t="s">
        <v>7183</v>
      </c>
      <c r="G588" t="s">
        <v>74</v>
      </c>
      <c r="H588" t="s">
        <v>74</v>
      </c>
      <c r="I588" t="s">
        <v>7184</v>
      </c>
      <c r="J588" t="s">
        <v>7185</v>
      </c>
      <c r="K588" t="s">
        <v>74</v>
      </c>
      <c r="L588" t="s">
        <v>74</v>
      </c>
      <c r="M588" t="s">
        <v>77</v>
      </c>
      <c r="N588" t="s">
        <v>78</v>
      </c>
      <c r="O588" t="s">
        <v>74</v>
      </c>
      <c r="P588" t="s">
        <v>74</v>
      </c>
      <c r="Q588" t="s">
        <v>74</v>
      </c>
      <c r="R588" t="s">
        <v>74</v>
      </c>
      <c r="S588" t="s">
        <v>74</v>
      </c>
      <c r="T588" t="s">
        <v>7186</v>
      </c>
      <c r="U588" t="s">
        <v>7187</v>
      </c>
      <c r="V588" t="s">
        <v>7188</v>
      </c>
      <c r="W588" t="s">
        <v>7189</v>
      </c>
      <c r="X588" t="s">
        <v>7190</v>
      </c>
      <c r="Y588" t="s">
        <v>7191</v>
      </c>
      <c r="Z588" t="s">
        <v>74</v>
      </c>
      <c r="AA588" t="s">
        <v>74</v>
      </c>
      <c r="AB588" t="s">
        <v>74</v>
      </c>
      <c r="AC588" t="s">
        <v>74</v>
      </c>
      <c r="AD588" t="s">
        <v>74</v>
      </c>
      <c r="AE588" t="s">
        <v>74</v>
      </c>
      <c r="AF588" t="s">
        <v>74</v>
      </c>
      <c r="AG588">
        <v>42</v>
      </c>
      <c r="AH588">
        <v>66</v>
      </c>
      <c r="AI588">
        <v>81</v>
      </c>
      <c r="AJ588">
        <v>0</v>
      </c>
      <c r="AK588">
        <v>9</v>
      </c>
      <c r="AL588" t="s">
        <v>854</v>
      </c>
      <c r="AM588" t="s">
        <v>855</v>
      </c>
      <c r="AN588" t="s">
        <v>856</v>
      </c>
      <c r="AO588" t="s">
        <v>7192</v>
      </c>
      <c r="AP588" t="s">
        <v>74</v>
      </c>
      <c r="AQ588" t="s">
        <v>74</v>
      </c>
      <c r="AR588" t="s">
        <v>7193</v>
      </c>
      <c r="AS588" t="s">
        <v>7194</v>
      </c>
      <c r="AT588" t="s">
        <v>7021</v>
      </c>
      <c r="AU588">
        <v>1997</v>
      </c>
      <c r="AV588">
        <v>6</v>
      </c>
      <c r="AW588">
        <v>12</v>
      </c>
      <c r="AX588" t="s">
        <v>74</v>
      </c>
      <c r="AY588" t="s">
        <v>74</v>
      </c>
      <c r="AZ588" t="s">
        <v>74</v>
      </c>
      <c r="BA588" t="s">
        <v>74</v>
      </c>
      <c r="BB588">
        <v>1627</v>
      </c>
      <c r="BC588">
        <v>1638</v>
      </c>
      <c r="BD588" t="s">
        <v>74</v>
      </c>
      <c r="BE588" t="s">
        <v>7195</v>
      </c>
      <c r="BF588" t="str">
        <f>HYPERLINK("http://dx.doi.org/10.1023/A:1018378822687","http://dx.doi.org/10.1023/A:1018378822687")</f>
        <v>http://dx.doi.org/10.1023/A:1018378822687</v>
      </c>
      <c r="BG588" t="s">
        <v>74</v>
      </c>
      <c r="BH588" t="s">
        <v>74</v>
      </c>
      <c r="BI588">
        <v>12</v>
      </c>
      <c r="BJ588" t="s">
        <v>1369</v>
      </c>
      <c r="BK588" t="s">
        <v>98</v>
      </c>
      <c r="BL588" t="s">
        <v>904</v>
      </c>
      <c r="BM588" t="s">
        <v>7196</v>
      </c>
      <c r="BN588" t="s">
        <v>74</v>
      </c>
      <c r="BO588" t="s">
        <v>74</v>
      </c>
      <c r="BP588" t="s">
        <v>74</v>
      </c>
      <c r="BQ588" t="s">
        <v>74</v>
      </c>
      <c r="BR588" t="s">
        <v>101</v>
      </c>
      <c r="BS588" t="s">
        <v>7197</v>
      </c>
      <c r="BT588" t="str">
        <f>HYPERLINK("https%3A%2F%2Fwww.webofscience.com%2Fwos%2Fwoscc%2Ffull-record%2FWOS:000070980400002","View Full Record in Web of Science")</f>
        <v>View Full Record in Web of Science</v>
      </c>
    </row>
    <row r="589" spans="1:72" x14ac:dyDescent="0.15">
      <c r="A589" t="s">
        <v>72</v>
      </c>
      <c r="B589" t="s">
        <v>7198</v>
      </c>
      <c r="C589" t="s">
        <v>74</v>
      </c>
      <c r="D589" t="s">
        <v>74</v>
      </c>
      <c r="E589" t="s">
        <v>74</v>
      </c>
      <c r="F589" t="s">
        <v>7198</v>
      </c>
      <c r="G589" t="s">
        <v>74</v>
      </c>
      <c r="H589" t="s">
        <v>74</v>
      </c>
      <c r="I589" t="s">
        <v>7199</v>
      </c>
      <c r="J589" t="s">
        <v>7200</v>
      </c>
      <c r="K589" t="s">
        <v>74</v>
      </c>
      <c r="L589" t="s">
        <v>74</v>
      </c>
      <c r="M589" t="s">
        <v>77</v>
      </c>
      <c r="N589" t="s">
        <v>78</v>
      </c>
      <c r="O589" t="s">
        <v>74</v>
      </c>
      <c r="P589" t="s">
        <v>74</v>
      </c>
      <c r="Q589" t="s">
        <v>74</v>
      </c>
      <c r="R589" t="s">
        <v>74</v>
      </c>
      <c r="S589" t="s">
        <v>74</v>
      </c>
      <c r="T589" t="s">
        <v>74</v>
      </c>
      <c r="U589" t="s">
        <v>7201</v>
      </c>
      <c r="V589" t="s">
        <v>7202</v>
      </c>
      <c r="W589" t="s">
        <v>74</v>
      </c>
      <c r="X589" t="s">
        <v>74</v>
      </c>
      <c r="Y589" t="s">
        <v>7203</v>
      </c>
      <c r="Z589" t="s">
        <v>74</v>
      </c>
      <c r="AA589" t="s">
        <v>74</v>
      </c>
      <c r="AB589" t="s">
        <v>74</v>
      </c>
      <c r="AC589" t="s">
        <v>74</v>
      </c>
      <c r="AD589" t="s">
        <v>74</v>
      </c>
      <c r="AE589" t="s">
        <v>74</v>
      </c>
      <c r="AF589" t="s">
        <v>74</v>
      </c>
      <c r="AG589">
        <v>71</v>
      </c>
      <c r="AH589">
        <v>83</v>
      </c>
      <c r="AI589">
        <v>90</v>
      </c>
      <c r="AJ589">
        <v>0</v>
      </c>
      <c r="AK589">
        <v>14</v>
      </c>
      <c r="AL589" t="s">
        <v>854</v>
      </c>
      <c r="AM589" t="s">
        <v>855</v>
      </c>
      <c r="AN589" t="s">
        <v>856</v>
      </c>
      <c r="AO589" t="s">
        <v>7204</v>
      </c>
      <c r="AP589" t="s">
        <v>74</v>
      </c>
      <c r="AQ589" t="s">
        <v>74</v>
      </c>
      <c r="AR589" t="s">
        <v>7200</v>
      </c>
      <c r="AS589" t="s">
        <v>7205</v>
      </c>
      <c r="AT589" t="s">
        <v>7021</v>
      </c>
      <c r="AU589">
        <v>1997</v>
      </c>
      <c r="AV589">
        <v>37</v>
      </c>
      <c r="AW589">
        <v>4</v>
      </c>
      <c r="AX589" t="s">
        <v>74</v>
      </c>
      <c r="AY589" t="s">
        <v>74</v>
      </c>
      <c r="AZ589" t="s">
        <v>74</v>
      </c>
      <c r="BA589" t="s">
        <v>74</v>
      </c>
      <c r="BB589">
        <v>617</v>
      </c>
      <c r="BC589">
        <v>639</v>
      </c>
      <c r="BD589" t="s">
        <v>74</v>
      </c>
      <c r="BE589" t="s">
        <v>7206</v>
      </c>
      <c r="BF589" t="str">
        <f>HYPERLINK("http://dx.doi.org/10.1023/A:1005331731034","http://dx.doi.org/10.1023/A:1005331731034")</f>
        <v>http://dx.doi.org/10.1023/A:1005331731034</v>
      </c>
      <c r="BG589" t="s">
        <v>74</v>
      </c>
      <c r="BH589" t="s">
        <v>74</v>
      </c>
      <c r="BI589">
        <v>23</v>
      </c>
      <c r="BJ589" t="s">
        <v>5017</v>
      </c>
      <c r="BK589" t="s">
        <v>98</v>
      </c>
      <c r="BL589" t="s">
        <v>5018</v>
      </c>
      <c r="BM589" t="s">
        <v>7207</v>
      </c>
      <c r="BN589" t="s">
        <v>74</v>
      </c>
      <c r="BO589" t="s">
        <v>74</v>
      </c>
      <c r="BP589" t="s">
        <v>74</v>
      </c>
      <c r="BQ589" t="s">
        <v>74</v>
      </c>
      <c r="BR589" t="s">
        <v>101</v>
      </c>
      <c r="BS589" t="s">
        <v>7208</v>
      </c>
      <c r="BT589" t="str">
        <f>HYPERLINK("https%3A%2F%2Fwww.webofscience.com%2Fwos%2Fwoscc%2Ffull-record%2FWOS:A1997YL62400003","View Full Record in Web of Science")</f>
        <v>View Full Record in Web of Science</v>
      </c>
    </row>
    <row r="590" spans="1:72" x14ac:dyDescent="0.15">
      <c r="A590" t="s">
        <v>72</v>
      </c>
      <c r="B590" t="s">
        <v>7209</v>
      </c>
      <c r="C590" t="s">
        <v>74</v>
      </c>
      <c r="D590" t="s">
        <v>74</v>
      </c>
      <c r="E590" t="s">
        <v>74</v>
      </c>
      <c r="F590" t="s">
        <v>7209</v>
      </c>
      <c r="G590" t="s">
        <v>74</v>
      </c>
      <c r="H590" t="s">
        <v>74</v>
      </c>
      <c r="I590" t="s">
        <v>7210</v>
      </c>
      <c r="J590" t="s">
        <v>4035</v>
      </c>
      <c r="K590" t="s">
        <v>74</v>
      </c>
      <c r="L590" t="s">
        <v>74</v>
      </c>
      <c r="M590" t="s">
        <v>77</v>
      </c>
      <c r="N590" t="s">
        <v>212</v>
      </c>
      <c r="O590" t="s">
        <v>74</v>
      </c>
      <c r="P590" t="s">
        <v>74</v>
      </c>
      <c r="Q590" t="s">
        <v>74</v>
      </c>
      <c r="R590" t="s">
        <v>74</v>
      </c>
      <c r="S590" t="s">
        <v>74</v>
      </c>
      <c r="T590" t="s">
        <v>74</v>
      </c>
      <c r="U590" t="s">
        <v>74</v>
      </c>
      <c r="V590" t="s">
        <v>74</v>
      </c>
      <c r="W590" t="s">
        <v>7211</v>
      </c>
      <c r="X590" t="s">
        <v>5855</v>
      </c>
      <c r="Y590" t="s">
        <v>7212</v>
      </c>
      <c r="Z590" t="s">
        <v>74</v>
      </c>
      <c r="AA590" t="s">
        <v>74</v>
      </c>
      <c r="AB590" t="s">
        <v>74</v>
      </c>
      <c r="AC590" t="s">
        <v>74</v>
      </c>
      <c r="AD590" t="s">
        <v>74</v>
      </c>
      <c r="AE590" t="s">
        <v>74</v>
      </c>
      <c r="AF590" t="s">
        <v>74</v>
      </c>
      <c r="AG590">
        <v>0</v>
      </c>
      <c r="AH590">
        <v>1</v>
      </c>
      <c r="AI590">
        <v>1</v>
      </c>
      <c r="AJ590">
        <v>0</v>
      </c>
      <c r="AK590">
        <v>0</v>
      </c>
      <c r="AL590" t="s">
        <v>4047</v>
      </c>
      <c r="AM590" t="s">
        <v>244</v>
      </c>
      <c r="AN590" t="s">
        <v>4048</v>
      </c>
      <c r="AO590" t="s">
        <v>4049</v>
      </c>
      <c r="AP590" t="s">
        <v>74</v>
      </c>
      <c r="AQ590" t="s">
        <v>74</v>
      </c>
      <c r="AR590" t="s">
        <v>4051</v>
      </c>
      <c r="AS590" t="s">
        <v>4052</v>
      </c>
      <c r="AT590" t="s">
        <v>7021</v>
      </c>
      <c r="AU590">
        <v>1997</v>
      </c>
      <c r="AV590">
        <v>118</v>
      </c>
      <c r="AW590">
        <v>4</v>
      </c>
      <c r="AX590" t="s">
        <v>74</v>
      </c>
      <c r="AY590" t="s">
        <v>74</v>
      </c>
      <c r="AZ590" t="s">
        <v>74</v>
      </c>
      <c r="BA590" t="s">
        <v>74</v>
      </c>
      <c r="BB590">
        <v>975</v>
      </c>
      <c r="BC590">
        <v>976</v>
      </c>
      <c r="BD590" t="s">
        <v>74</v>
      </c>
      <c r="BE590" t="s">
        <v>7213</v>
      </c>
      <c r="BF590" t="str">
        <f>HYPERLINK("http://dx.doi.org/10.1016/S0300-9629(97)86784-9","http://dx.doi.org/10.1016/S0300-9629(97)86784-9")</f>
        <v>http://dx.doi.org/10.1016/S0300-9629(97)86784-9</v>
      </c>
      <c r="BG590" t="s">
        <v>74</v>
      </c>
      <c r="BH590" t="s">
        <v>74</v>
      </c>
      <c r="BI590">
        <v>2</v>
      </c>
      <c r="BJ590" t="s">
        <v>4054</v>
      </c>
      <c r="BK590" t="s">
        <v>98</v>
      </c>
      <c r="BL590" t="s">
        <v>4054</v>
      </c>
      <c r="BM590" t="s">
        <v>7214</v>
      </c>
      <c r="BN590" t="s">
        <v>74</v>
      </c>
      <c r="BO590" t="s">
        <v>74</v>
      </c>
      <c r="BP590" t="s">
        <v>74</v>
      </c>
      <c r="BQ590" t="s">
        <v>74</v>
      </c>
      <c r="BR590" t="s">
        <v>101</v>
      </c>
      <c r="BS590" t="s">
        <v>7215</v>
      </c>
      <c r="BT590" t="str">
        <f>HYPERLINK("https%3A%2F%2Fwww.webofscience.com%2Fwos%2Fwoscc%2Ffull-record%2FWOS:000071209300007","View Full Record in Web of Science")</f>
        <v>View Full Record in Web of Science</v>
      </c>
    </row>
    <row r="591" spans="1:72" x14ac:dyDescent="0.15">
      <c r="A591" t="s">
        <v>72</v>
      </c>
      <c r="B591" t="s">
        <v>7216</v>
      </c>
      <c r="C591" t="s">
        <v>74</v>
      </c>
      <c r="D591" t="s">
        <v>74</v>
      </c>
      <c r="E591" t="s">
        <v>74</v>
      </c>
      <c r="F591" t="s">
        <v>7216</v>
      </c>
      <c r="G591" t="s">
        <v>74</v>
      </c>
      <c r="H591" t="s">
        <v>74</v>
      </c>
      <c r="I591" t="s">
        <v>7217</v>
      </c>
      <c r="J591" t="s">
        <v>4035</v>
      </c>
      <c r="K591" t="s">
        <v>74</v>
      </c>
      <c r="L591" t="s">
        <v>74</v>
      </c>
      <c r="M591" t="s">
        <v>77</v>
      </c>
      <c r="N591" t="s">
        <v>379</v>
      </c>
      <c r="O591" t="s">
        <v>7218</v>
      </c>
      <c r="P591">
        <v>1995</v>
      </c>
      <c r="Q591" t="s">
        <v>2523</v>
      </c>
      <c r="R591" t="s">
        <v>74</v>
      </c>
      <c r="S591" t="s">
        <v>74</v>
      </c>
      <c r="T591" t="s">
        <v>7219</v>
      </c>
      <c r="U591" t="s">
        <v>74</v>
      </c>
      <c r="V591" t="s">
        <v>7220</v>
      </c>
      <c r="W591" t="s">
        <v>7221</v>
      </c>
      <c r="X591" t="s">
        <v>7222</v>
      </c>
      <c r="Y591" t="s">
        <v>7223</v>
      </c>
      <c r="Z591" t="s">
        <v>7224</v>
      </c>
      <c r="AA591" t="s">
        <v>7225</v>
      </c>
      <c r="AB591" t="s">
        <v>7226</v>
      </c>
      <c r="AC591" t="s">
        <v>74</v>
      </c>
      <c r="AD591" t="s">
        <v>74</v>
      </c>
      <c r="AE591" t="s">
        <v>74</v>
      </c>
      <c r="AF591" t="s">
        <v>74</v>
      </c>
      <c r="AG591">
        <v>16</v>
      </c>
      <c r="AH591">
        <v>6</v>
      </c>
      <c r="AI591">
        <v>6</v>
      </c>
      <c r="AJ591">
        <v>0</v>
      </c>
      <c r="AK591">
        <v>5</v>
      </c>
      <c r="AL591" t="s">
        <v>4047</v>
      </c>
      <c r="AM591" t="s">
        <v>244</v>
      </c>
      <c r="AN591" t="s">
        <v>4048</v>
      </c>
      <c r="AO591" t="s">
        <v>4049</v>
      </c>
      <c r="AP591" t="s">
        <v>74</v>
      </c>
      <c r="AQ591" t="s">
        <v>74</v>
      </c>
      <c r="AR591" t="s">
        <v>4051</v>
      </c>
      <c r="AS591" t="s">
        <v>4052</v>
      </c>
      <c r="AT591" t="s">
        <v>7021</v>
      </c>
      <c r="AU591">
        <v>1997</v>
      </c>
      <c r="AV591">
        <v>118</v>
      </c>
      <c r="AW591">
        <v>4</v>
      </c>
      <c r="AX591" t="s">
        <v>74</v>
      </c>
      <c r="AY591" t="s">
        <v>74</v>
      </c>
      <c r="AZ591" t="s">
        <v>74</v>
      </c>
      <c r="BA591" t="s">
        <v>74</v>
      </c>
      <c r="BB591">
        <v>977</v>
      </c>
      <c r="BC591">
        <v>980</v>
      </c>
      <c r="BD591" t="s">
        <v>74</v>
      </c>
      <c r="BE591" t="s">
        <v>7227</v>
      </c>
      <c r="BF591" t="str">
        <f>HYPERLINK("http://dx.doi.org/10.1016/S0300-9629(97)86785-0","http://dx.doi.org/10.1016/S0300-9629(97)86785-0")</f>
        <v>http://dx.doi.org/10.1016/S0300-9629(97)86785-0</v>
      </c>
      <c r="BG591" t="s">
        <v>74</v>
      </c>
      <c r="BH591" t="s">
        <v>74</v>
      </c>
      <c r="BI591">
        <v>4</v>
      </c>
      <c r="BJ591" t="s">
        <v>4054</v>
      </c>
      <c r="BK591" t="s">
        <v>3943</v>
      </c>
      <c r="BL591" t="s">
        <v>4054</v>
      </c>
      <c r="BM591" t="s">
        <v>7214</v>
      </c>
      <c r="BN591" t="s">
        <v>74</v>
      </c>
      <c r="BO591" t="s">
        <v>74</v>
      </c>
      <c r="BP591" t="s">
        <v>74</v>
      </c>
      <c r="BQ591" t="s">
        <v>74</v>
      </c>
      <c r="BR591" t="s">
        <v>101</v>
      </c>
      <c r="BS591" t="s">
        <v>7228</v>
      </c>
      <c r="BT591" t="str">
        <f>HYPERLINK("https%3A%2F%2Fwww.webofscience.com%2Fwos%2Fwoscc%2Ffull-record%2FWOS:000071209300008","View Full Record in Web of Science")</f>
        <v>View Full Record in Web of Science</v>
      </c>
    </row>
    <row r="592" spans="1:72" x14ac:dyDescent="0.15">
      <c r="A592" t="s">
        <v>72</v>
      </c>
      <c r="B592" t="s">
        <v>7229</v>
      </c>
      <c r="C592" t="s">
        <v>74</v>
      </c>
      <c r="D592" t="s">
        <v>74</v>
      </c>
      <c r="E592" t="s">
        <v>74</v>
      </c>
      <c r="F592" t="s">
        <v>7229</v>
      </c>
      <c r="G592" t="s">
        <v>74</v>
      </c>
      <c r="H592" t="s">
        <v>74</v>
      </c>
      <c r="I592" t="s">
        <v>7230</v>
      </c>
      <c r="J592" t="s">
        <v>4035</v>
      </c>
      <c r="K592" t="s">
        <v>74</v>
      </c>
      <c r="L592" t="s">
        <v>74</v>
      </c>
      <c r="M592" t="s">
        <v>77</v>
      </c>
      <c r="N592" t="s">
        <v>379</v>
      </c>
      <c r="O592" t="s">
        <v>7218</v>
      </c>
      <c r="P592">
        <v>1995</v>
      </c>
      <c r="Q592" t="s">
        <v>2523</v>
      </c>
      <c r="R592" t="s">
        <v>74</v>
      </c>
      <c r="S592" t="s">
        <v>74</v>
      </c>
      <c r="T592" t="s">
        <v>7231</v>
      </c>
      <c r="U592" t="s">
        <v>7232</v>
      </c>
      <c r="V592" t="s">
        <v>7233</v>
      </c>
      <c r="W592" t="s">
        <v>7234</v>
      </c>
      <c r="X592" t="s">
        <v>357</v>
      </c>
      <c r="Y592" t="s">
        <v>358</v>
      </c>
      <c r="Z592" t="s">
        <v>359</v>
      </c>
      <c r="AA592" t="s">
        <v>74</v>
      </c>
      <c r="AB592" t="s">
        <v>74</v>
      </c>
      <c r="AC592" t="s">
        <v>74</v>
      </c>
      <c r="AD592" t="s">
        <v>74</v>
      </c>
      <c r="AE592" t="s">
        <v>74</v>
      </c>
      <c r="AF592" t="s">
        <v>74</v>
      </c>
      <c r="AG592">
        <v>47</v>
      </c>
      <c r="AH592">
        <v>16</v>
      </c>
      <c r="AI592">
        <v>20</v>
      </c>
      <c r="AJ592">
        <v>4</v>
      </c>
      <c r="AK592">
        <v>42</v>
      </c>
      <c r="AL592" t="s">
        <v>4047</v>
      </c>
      <c r="AM592" t="s">
        <v>244</v>
      </c>
      <c r="AN592" t="s">
        <v>4048</v>
      </c>
      <c r="AO592" t="s">
        <v>4049</v>
      </c>
      <c r="AP592" t="s">
        <v>4050</v>
      </c>
      <c r="AQ592" t="s">
        <v>74</v>
      </c>
      <c r="AR592" t="s">
        <v>4051</v>
      </c>
      <c r="AS592" t="s">
        <v>4052</v>
      </c>
      <c r="AT592" t="s">
        <v>7021</v>
      </c>
      <c r="AU592">
        <v>1997</v>
      </c>
      <c r="AV592">
        <v>118</v>
      </c>
      <c r="AW592">
        <v>4</v>
      </c>
      <c r="AX592" t="s">
        <v>74</v>
      </c>
      <c r="AY592" t="s">
        <v>74</v>
      </c>
      <c r="AZ592" t="s">
        <v>74</v>
      </c>
      <c r="BA592" t="s">
        <v>74</v>
      </c>
      <c r="BB592">
        <v>981</v>
      </c>
      <c r="BC592">
        <v>987</v>
      </c>
      <c r="BD592" t="s">
        <v>74</v>
      </c>
      <c r="BE592" t="s">
        <v>7235</v>
      </c>
      <c r="BF592" t="str">
        <f>HYPERLINK("http://dx.doi.org/10.1016/S0300-9629(97)86786-2","http://dx.doi.org/10.1016/S0300-9629(97)86786-2")</f>
        <v>http://dx.doi.org/10.1016/S0300-9629(97)86786-2</v>
      </c>
      <c r="BG592" t="s">
        <v>74</v>
      </c>
      <c r="BH592" t="s">
        <v>74</v>
      </c>
      <c r="BI592">
        <v>7</v>
      </c>
      <c r="BJ592" t="s">
        <v>4054</v>
      </c>
      <c r="BK592" t="s">
        <v>3943</v>
      </c>
      <c r="BL592" t="s">
        <v>4054</v>
      </c>
      <c r="BM592" t="s">
        <v>7214</v>
      </c>
      <c r="BN592" t="s">
        <v>74</v>
      </c>
      <c r="BO592" t="s">
        <v>74</v>
      </c>
      <c r="BP592" t="s">
        <v>74</v>
      </c>
      <c r="BQ592" t="s">
        <v>74</v>
      </c>
      <c r="BR592" t="s">
        <v>101</v>
      </c>
      <c r="BS592" t="s">
        <v>7236</v>
      </c>
      <c r="BT592" t="str">
        <f>HYPERLINK("https%3A%2F%2Fwww.webofscience.com%2Fwos%2Fwoscc%2Ffull-record%2FWOS:000071209300009","View Full Record in Web of Science")</f>
        <v>View Full Record in Web of Science</v>
      </c>
    </row>
    <row r="593" spans="1:72" x14ac:dyDescent="0.15">
      <c r="A593" t="s">
        <v>72</v>
      </c>
      <c r="B593" t="s">
        <v>7237</v>
      </c>
      <c r="C593" t="s">
        <v>74</v>
      </c>
      <c r="D593" t="s">
        <v>74</v>
      </c>
      <c r="E593" t="s">
        <v>74</v>
      </c>
      <c r="F593" t="s">
        <v>7237</v>
      </c>
      <c r="G593" t="s">
        <v>74</v>
      </c>
      <c r="H593" t="s">
        <v>74</v>
      </c>
      <c r="I593" t="s">
        <v>7238</v>
      </c>
      <c r="J593" t="s">
        <v>4035</v>
      </c>
      <c r="K593" t="s">
        <v>74</v>
      </c>
      <c r="L593" t="s">
        <v>74</v>
      </c>
      <c r="M593" t="s">
        <v>77</v>
      </c>
      <c r="N593" t="s">
        <v>379</v>
      </c>
      <c r="O593" t="s">
        <v>7218</v>
      </c>
      <c r="P593">
        <v>1995</v>
      </c>
      <c r="Q593" t="s">
        <v>2523</v>
      </c>
      <c r="R593" t="s">
        <v>74</v>
      </c>
      <c r="S593" t="s">
        <v>74</v>
      </c>
      <c r="T593" t="s">
        <v>7239</v>
      </c>
      <c r="U593" t="s">
        <v>7240</v>
      </c>
      <c r="V593" t="s">
        <v>7241</v>
      </c>
      <c r="W593" t="s">
        <v>7242</v>
      </c>
      <c r="X593" t="s">
        <v>7243</v>
      </c>
      <c r="Y593" t="s">
        <v>7244</v>
      </c>
      <c r="Z593" t="s">
        <v>7245</v>
      </c>
      <c r="AA593" t="s">
        <v>7246</v>
      </c>
      <c r="AB593" t="s">
        <v>74</v>
      </c>
      <c r="AC593" t="s">
        <v>74</v>
      </c>
      <c r="AD593" t="s">
        <v>74</v>
      </c>
      <c r="AE593" t="s">
        <v>74</v>
      </c>
      <c r="AF593" t="s">
        <v>74</v>
      </c>
      <c r="AG593">
        <v>20</v>
      </c>
      <c r="AH593">
        <v>7</v>
      </c>
      <c r="AI593">
        <v>8</v>
      </c>
      <c r="AJ593">
        <v>29</v>
      </c>
      <c r="AK593">
        <v>167</v>
      </c>
      <c r="AL593" t="s">
        <v>4047</v>
      </c>
      <c r="AM593" t="s">
        <v>244</v>
      </c>
      <c r="AN593" t="s">
        <v>4048</v>
      </c>
      <c r="AO593" t="s">
        <v>4049</v>
      </c>
      <c r="AP593" t="s">
        <v>4050</v>
      </c>
      <c r="AQ593" t="s">
        <v>74</v>
      </c>
      <c r="AR593" t="s">
        <v>4051</v>
      </c>
      <c r="AS593" t="s">
        <v>4052</v>
      </c>
      <c r="AT593" t="s">
        <v>7021</v>
      </c>
      <c r="AU593">
        <v>1997</v>
      </c>
      <c r="AV593">
        <v>118</v>
      </c>
      <c r="AW593">
        <v>4</v>
      </c>
      <c r="AX593" t="s">
        <v>74</v>
      </c>
      <c r="AY593" t="s">
        <v>74</v>
      </c>
      <c r="AZ593" t="s">
        <v>74</v>
      </c>
      <c r="BA593" t="s">
        <v>74</v>
      </c>
      <c r="BB593">
        <v>989</v>
      </c>
      <c r="BC593">
        <v>992</v>
      </c>
      <c r="BD593" t="s">
        <v>74</v>
      </c>
      <c r="BE593" t="s">
        <v>7247</v>
      </c>
      <c r="BF593" t="str">
        <f>HYPERLINK("http://dx.doi.org/10.1016/S0300-9629(97)86787-4","http://dx.doi.org/10.1016/S0300-9629(97)86787-4")</f>
        <v>http://dx.doi.org/10.1016/S0300-9629(97)86787-4</v>
      </c>
      <c r="BG593" t="s">
        <v>74</v>
      </c>
      <c r="BH593" t="s">
        <v>74</v>
      </c>
      <c r="BI593">
        <v>4</v>
      </c>
      <c r="BJ593" t="s">
        <v>4054</v>
      </c>
      <c r="BK593" t="s">
        <v>3943</v>
      </c>
      <c r="BL593" t="s">
        <v>4054</v>
      </c>
      <c r="BM593" t="s">
        <v>7214</v>
      </c>
      <c r="BN593" t="s">
        <v>74</v>
      </c>
      <c r="BO593" t="s">
        <v>74</v>
      </c>
      <c r="BP593" t="s">
        <v>74</v>
      </c>
      <c r="BQ593" t="s">
        <v>74</v>
      </c>
      <c r="BR593" t="s">
        <v>101</v>
      </c>
      <c r="BS593" t="s">
        <v>7248</v>
      </c>
      <c r="BT593" t="str">
        <f>HYPERLINK("https%3A%2F%2Fwww.webofscience.com%2Fwos%2Fwoscc%2Ffull-record%2FWOS:000071209300010","View Full Record in Web of Science")</f>
        <v>View Full Record in Web of Science</v>
      </c>
    </row>
    <row r="594" spans="1:72" x14ac:dyDescent="0.15">
      <c r="A594" t="s">
        <v>72</v>
      </c>
      <c r="B594" t="s">
        <v>7249</v>
      </c>
      <c r="C594" t="s">
        <v>74</v>
      </c>
      <c r="D594" t="s">
        <v>74</v>
      </c>
      <c r="E594" t="s">
        <v>74</v>
      </c>
      <c r="F594" t="s">
        <v>7249</v>
      </c>
      <c r="G594" t="s">
        <v>74</v>
      </c>
      <c r="H594" t="s">
        <v>74</v>
      </c>
      <c r="I594" t="s">
        <v>7250</v>
      </c>
      <c r="J594" t="s">
        <v>4035</v>
      </c>
      <c r="K594" t="s">
        <v>74</v>
      </c>
      <c r="L594" t="s">
        <v>74</v>
      </c>
      <c r="M594" t="s">
        <v>77</v>
      </c>
      <c r="N594" t="s">
        <v>379</v>
      </c>
      <c r="O594" t="s">
        <v>7218</v>
      </c>
      <c r="P594">
        <v>1995</v>
      </c>
      <c r="Q594" t="s">
        <v>2523</v>
      </c>
      <c r="R594" t="s">
        <v>74</v>
      </c>
      <c r="S594" t="s">
        <v>74</v>
      </c>
      <c r="T594" t="s">
        <v>7251</v>
      </c>
      <c r="U594" t="s">
        <v>7252</v>
      </c>
      <c r="V594" t="s">
        <v>7253</v>
      </c>
      <c r="W594" t="s">
        <v>7254</v>
      </c>
      <c r="X594" t="s">
        <v>7255</v>
      </c>
      <c r="Y594" t="s">
        <v>7256</v>
      </c>
      <c r="Z594" t="s">
        <v>7257</v>
      </c>
      <c r="AA594" t="s">
        <v>74</v>
      </c>
      <c r="AB594" t="s">
        <v>7258</v>
      </c>
      <c r="AC594" t="s">
        <v>74</v>
      </c>
      <c r="AD594" t="s">
        <v>74</v>
      </c>
      <c r="AE594" t="s">
        <v>74</v>
      </c>
      <c r="AF594" t="s">
        <v>74</v>
      </c>
      <c r="AG594">
        <v>44</v>
      </c>
      <c r="AH594">
        <v>16</v>
      </c>
      <c r="AI594">
        <v>16</v>
      </c>
      <c r="AJ594">
        <v>0</v>
      </c>
      <c r="AK594">
        <v>1</v>
      </c>
      <c r="AL594" t="s">
        <v>4047</v>
      </c>
      <c r="AM594" t="s">
        <v>244</v>
      </c>
      <c r="AN594" t="s">
        <v>4048</v>
      </c>
      <c r="AO594" t="s">
        <v>4049</v>
      </c>
      <c r="AP594" t="s">
        <v>4050</v>
      </c>
      <c r="AQ594" t="s">
        <v>74</v>
      </c>
      <c r="AR594" t="s">
        <v>4051</v>
      </c>
      <c r="AS594" t="s">
        <v>4052</v>
      </c>
      <c r="AT594" t="s">
        <v>7021</v>
      </c>
      <c r="AU594">
        <v>1997</v>
      </c>
      <c r="AV594">
        <v>118</v>
      </c>
      <c r="AW594">
        <v>4</v>
      </c>
      <c r="AX594" t="s">
        <v>74</v>
      </c>
      <c r="AY594" t="s">
        <v>74</v>
      </c>
      <c r="AZ594" t="s">
        <v>74</v>
      </c>
      <c r="BA594" t="s">
        <v>74</v>
      </c>
      <c r="BB594">
        <v>993</v>
      </c>
      <c r="BC594">
        <v>999</v>
      </c>
      <c r="BD594" t="s">
        <v>74</v>
      </c>
      <c r="BE594" t="s">
        <v>7259</v>
      </c>
      <c r="BF594" t="str">
        <f>HYPERLINK("http://dx.doi.org/10.1016/S0300-9629(97)86788-6","http://dx.doi.org/10.1016/S0300-9629(97)86788-6")</f>
        <v>http://dx.doi.org/10.1016/S0300-9629(97)86788-6</v>
      </c>
      <c r="BG594" t="s">
        <v>74</v>
      </c>
      <c r="BH594" t="s">
        <v>74</v>
      </c>
      <c r="BI594">
        <v>7</v>
      </c>
      <c r="BJ594" t="s">
        <v>4054</v>
      </c>
      <c r="BK594" t="s">
        <v>3943</v>
      </c>
      <c r="BL594" t="s">
        <v>4054</v>
      </c>
      <c r="BM594" t="s">
        <v>7214</v>
      </c>
      <c r="BN594" t="s">
        <v>74</v>
      </c>
      <c r="BO594" t="s">
        <v>74</v>
      </c>
      <c r="BP594" t="s">
        <v>74</v>
      </c>
      <c r="BQ594" t="s">
        <v>74</v>
      </c>
      <c r="BR594" t="s">
        <v>101</v>
      </c>
      <c r="BS594" t="s">
        <v>7260</v>
      </c>
      <c r="BT594" t="str">
        <f>HYPERLINK("https%3A%2F%2Fwww.webofscience.com%2Fwos%2Fwoscc%2Ffull-record%2FWOS:000071209300011","View Full Record in Web of Science")</f>
        <v>View Full Record in Web of Science</v>
      </c>
    </row>
    <row r="595" spans="1:72" x14ac:dyDescent="0.15">
      <c r="A595" t="s">
        <v>72</v>
      </c>
      <c r="B595" t="s">
        <v>7261</v>
      </c>
      <c r="C595" t="s">
        <v>74</v>
      </c>
      <c r="D595" t="s">
        <v>74</v>
      </c>
      <c r="E595" t="s">
        <v>74</v>
      </c>
      <c r="F595" t="s">
        <v>7261</v>
      </c>
      <c r="G595" t="s">
        <v>74</v>
      </c>
      <c r="H595" t="s">
        <v>74</v>
      </c>
      <c r="I595" t="s">
        <v>7262</v>
      </c>
      <c r="J595" t="s">
        <v>4035</v>
      </c>
      <c r="K595" t="s">
        <v>74</v>
      </c>
      <c r="L595" t="s">
        <v>74</v>
      </c>
      <c r="M595" t="s">
        <v>77</v>
      </c>
      <c r="N595" t="s">
        <v>379</v>
      </c>
      <c r="O595" t="s">
        <v>7218</v>
      </c>
      <c r="P595">
        <v>1995</v>
      </c>
      <c r="Q595" t="s">
        <v>2523</v>
      </c>
      <c r="R595" t="s">
        <v>74</v>
      </c>
      <c r="S595" t="s">
        <v>74</v>
      </c>
      <c r="T595" t="s">
        <v>7263</v>
      </c>
      <c r="U595" t="s">
        <v>7264</v>
      </c>
      <c r="V595" t="s">
        <v>7265</v>
      </c>
      <c r="W595" t="s">
        <v>7266</v>
      </c>
      <c r="X595" t="s">
        <v>7267</v>
      </c>
      <c r="Y595" t="s">
        <v>7268</v>
      </c>
      <c r="Z595" t="s">
        <v>7269</v>
      </c>
      <c r="AA595" t="s">
        <v>7270</v>
      </c>
      <c r="AB595" t="s">
        <v>74</v>
      </c>
      <c r="AC595" t="s">
        <v>74</v>
      </c>
      <c r="AD595" t="s">
        <v>74</v>
      </c>
      <c r="AE595" t="s">
        <v>74</v>
      </c>
      <c r="AF595" t="s">
        <v>74</v>
      </c>
      <c r="AG595">
        <v>62</v>
      </c>
      <c r="AH595">
        <v>18</v>
      </c>
      <c r="AI595">
        <v>22</v>
      </c>
      <c r="AJ595">
        <v>0</v>
      </c>
      <c r="AK595">
        <v>19</v>
      </c>
      <c r="AL595" t="s">
        <v>4047</v>
      </c>
      <c r="AM595" t="s">
        <v>244</v>
      </c>
      <c r="AN595" t="s">
        <v>4048</v>
      </c>
      <c r="AO595" t="s">
        <v>4049</v>
      </c>
      <c r="AP595" t="s">
        <v>74</v>
      </c>
      <c r="AQ595" t="s">
        <v>74</v>
      </c>
      <c r="AR595" t="s">
        <v>4051</v>
      </c>
      <c r="AS595" t="s">
        <v>4052</v>
      </c>
      <c r="AT595" t="s">
        <v>7021</v>
      </c>
      <c r="AU595">
        <v>1997</v>
      </c>
      <c r="AV595">
        <v>118</v>
      </c>
      <c r="AW595">
        <v>4</v>
      </c>
      <c r="AX595" t="s">
        <v>74</v>
      </c>
      <c r="AY595" t="s">
        <v>74</v>
      </c>
      <c r="AZ595" t="s">
        <v>74</v>
      </c>
      <c r="BA595" t="s">
        <v>74</v>
      </c>
      <c r="BB595">
        <v>1001</v>
      </c>
      <c r="BC595">
        <v>1008</v>
      </c>
      <c r="BD595" t="s">
        <v>74</v>
      </c>
      <c r="BE595" t="s">
        <v>7271</v>
      </c>
      <c r="BF595" t="str">
        <f>HYPERLINK("http://dx.doi.org/10.1016/S0300-9629(97)86789-8","http://dx.doi.org/10.1016/S0300-9629(97)86789-8")</f>
        <v>http://dx.doi.org/10.1016/S0300-9629(97)86789-8</v>
      </c>
      <c r="BG595" t="s">
        <v>74</v>
      </c>
      <c r="BH595" t="s">
        <v>74</v>
      </c>
      <c r="BI595">
        <v>8</v>
      </c>
      <c r="BJ595" t="s">
        <v>4054</v>
      </c>
      <c r="BK595" t="s">
        <v>3943</v>
      </c>
      <c r="BL595" t="s">
        <v>4054</v>
      </c>
      <c r="BM595" t="s">
        <v>7214</v>
      </c>
      <c r="BN595" t="s">
        <v>74</v>
      </c>
      <c r="BO595" t="s">
        <v>74</v>
      </c>
      <c r="BP595" t="s">
        <v>74</v>
      </c>
      <c r="BQ595" t="s">
        <v>74</v>
      </c>
      <c r="BR595" t="s">
        <v>101</v>
      </c>
      <c r="BS595" t="s">
        <v>7272</v>
      </c>
      <c r="BT595" t="str">
        <f>HYPERLINK("https%3A%2F%2Fwww.webofscience.com%2Fwos%2Fwoscc%2Ffull-record%2FWOS:000071209300012","View Full Record in Web of Science")</f>
        <v>View Full Record in Web of Science</v>
      </c>
    </row>
    <row r="596" spans="1:72" x14ac:dyDescent="0.15">
      <c r="A596" t="s">
        <v>72</v>
      </c>
      <c r="B596" t="s">
        <v>7273</v>
      </c>
      <c r="C596" t="s">
        <v>74</v>
      </c>
      <c r="D596" t="s">
        <v>74</v>
      </c>
      <c r="E596" t="s">
        <v>74</v>
      </c>
      <c r="F596" t="s">
        <v>7273</v>
      </c>
      <c r="G596" t="s">
        <v>74</v>
      </c>
      <c r="H596" t="s">
        <v>74</v>
      </c>
      <c r="I596" t="s">
        <v>7274</v>
      </c>
      <c r="J596" t="s">
        <v>4035</v>
      </c>
      <c r="K596" t="s">
        <v>74</v>
      </c>
      <c r="L596" t="s">
        <v>74</v>
      </c>
      <c r="M596" t="s">
        <v>77</v>
      </c>
      <c r="N596" t="s">
        <v>379</v>
      </c>
      <c r="O596" t="s">
        <v>7218</v>
      </c>
      <c r="P596">
        <v>1995</v>
      </c>
      <c r="Q596" t="s">
        <v>2523</v>
      </c>
      <c r="R596" t="s">
        <v>74</v>
      </c>
      <c r="S596" t="s">
        <v>74</v>
      </c>
      <c r="T596" t="s">
        <v>7275</v>
      </c>
      <c r="U596" t="s">
        <v>7276</v>
      </c>
      <c r="V596" t="s">
        <v>7277</v>
      </c>
      <c r="W596" t="s">
        <v>7278</v>
      </c>
      <c r="X596" t="s">
        <v>7279</v>
      </c>
      <c r="Y596" t="s">
        <v>7280</v>
      </c>
      <c r="Z596" t="s">
        <v>7281</v>
      </c>
      <c r="AA596" t="s">
        <v>7282</v>
      </c>
      <c r="AB596" t="s">
        <v>7283</v>
      </c>
      <c r="AC596" t="s">
        <v>74</v>
      </c>
      <c r="AD596" t="s">
        <v>74</v>
      </c>
      <c r="AE596" t="s">
        <v>74</v>
      </c>
      <c r="AF596" t="s">
        <v>74</v>
      </c>
      <c r="AG596">
        <v>86</v>
      </c>
      <c r="AH596">
        <v>55</v>
      </c>
      <c r="AI596">
        <v>57</v>
      </c>
      <c r="AJ596">
        <v>0</v>
      </c>
      <c r="AK596">
        <v>8</v>
      </c>
      <c r="AL596" t="s">
        <v>4047</v>
      </c>
      <c r="AM596" t="s">
        <v>244</v>
      </c>
      <c r="AN596" t="s">
        <v>4048</v>
      </c>
      <c r="AO596" t="s">
        <v>4049</v>
      </c>
      <c r="AP596" t="s">
        <v>74</v>
      </c>
      <c r="AQ596" t="s">
        <v>74</v>
      </c>
      <c r="AR596" t="s">
        <v>4051</v>
      </c>
      <c r="AS596" t="s">
        <v>4052</v>
      </c>
      <c r="AT596" t="s">
        <v>7021</v>
      </c>
      <c r="AU596">
        <v>1997</v>
      </c>
      <c r="AV596">
        <v>118</v>
      </c>
      <c r="AW596">
        <v>4</v>
      </c>
      <c r="AX596" t="s">
        <v>74</v>
      </c>
      <c r="AY596" t="s">
        <v>74</v>
      </c>
      <c r="AZ596" t="s">
        <v>74</v>
      </c>
      <c r="BA596" t="s">
        <v>74</v>
      </c>
      <c r="BB596">
        <v>1009</v>
      </c>
      <c r="BC596">
        <v>1025</v>
      </c>
      <c r="BD596" t="s">
        <v>74</v>
      </c>
      <c r="BE596" t="s">
        <v>7284</v>
      </c>
      <c r="BF596" t="str">
        <f>HYPERLINK("http://dx.doi.org/10.1016/S0300-9629(97)86790-4","http://dx.doi.org/10.1016/S0300-9629(97)86790-4")</f>
        <v>http://dx.doi.org/10.1016/S0300-9629(97)86790-4</v>
      </c>
      <c r="BG596" t="s">
        <v>74</v>
      </c>
      <c r="BH596" t="s">
        <v>74</v>
      </c>
      <c r="BI596">
        <v>17</v>
      </c>
      <c r="BJ596" t="s">
        <v>4054</v>
      </c>
      <c r="BK596" t="s">
        <v>3943</v>
      </c>
      <c r="BL596" t="s">
        <v>4054</v>
      </c>
      <c r="BM596" t="s">
        <v>7214</v>
      </c>
      <c r="BN596">
        <v>9505416</v>
      </c>
      <c r="BO596" t="s">
        <v>74</v>
      </c>
      <c r="BP596" t="s">
        <v>74</v>
      </c>
      <c r="BQ596" t="s">
        <v>74</v>
      </c>
      <c r="BR596" t="s">
        <v>101</v>
      </c>
      <c r="BS596" t="s">
        <v>7285</v>
      </c>
      <c r="BT596" t="str">
        <f>HYPERLINK("https%3A%2F%2Fwww.webofscience.com%2Fwos%2Fwoscc%2Ffull-record%2FWOS:000071209300013","View Full Record in Web of Science")</f>
        <v>View Full Record in Web of Science</v>
      </c>
    </row>
    <row r="597" spans="1:72" x14ac:dyDescent="0.15">
      <c r="A597" t="s">
        <v>72</v>
      </c>
      <c r="B597" t="s">
        <v>7286</v>
      </c>
      <c r="C597" t="s">
        <v>74</v>
      </c>
      <c r="D597" t="s">
        <v>74</v>
      </c>
      <c r="E597" t="s">
        <v>74</v>
      </c>
      <c r="F597" t="s">
        <v>7286</v>
      </c>
      <c r="G597" t="s">
        <v>74</v>
      </c>
      <c r="H597" t="s">
        <v>74</v>
      </c>
      <c r="I597" t="s">
        <v>7287</v>
      </c>
      <c r="J597" t="s">
        <v>4035</v>
      </c>
      <c r="K597" t="s">
        <v>74</v>
      </c>
      <c r="L597" t="s">
        <v>74</v>
      </c>
      <c r="M597" t="s">
        <v>77</v>
      </c>
      <c r="N597" t="s">
        <v>379</v>
      </c>
      <c r="O597" t="s">
        <v>7218</v>
      </c>
      <c r="P597">
        <v>1995</v>
      </c>
      <c r="Q597" t="s">
        <v>2523</v>
      </c>
      <c r="R597" t="s">
        <v>74</v>
      </c>
      <c r="S597" t="s">
        <v>74</v>
      </c>
      <c r="T597" t="s">
        <v>7288</v>
      </c>
      <c r="U597" t="s">
        <v>7289</v>
      </c>
      <c r="V597" t="s">
        <v>7290</v>
      </c>
      <c r="W597" t="s">
        <v>7291</v>
      </c>
      <c r="X597" t="s">
        <v>7292</v>
      </c>
      <c r="Y597" t="s">
        <v>7293</v>
      </c>
      <c r="Z597" t="s">
        <v>74</v>
      </c>
      <c r="AA597" t="s">
        <v>7294</v>
      </c>
      <c r="AB597" t="s">
        <v>7295</v>
      </c>
      <c r="AC597" t="s">
        <v>74</v>
      </c>
      <c r="AD597" t="s">
        <v>74</v>
      </c>
      <c r="AE597" t="s">
        <v>74</v>
      </c>
      <c r="AF597" t="s">
        <v>74</v>
      </c>
      <c r="AG597">
        <v>25</v>
      </c>
      <c r="AH597">
        <v>23</v>
      </c>
      <c r="AI597">
        <v>26</v>
      </c>
      <c r="AJ597">
        <v>0</v>
      </c>
      <c r="AK597">
        <v>11</v>
      </c>
      <c r="AL597" t="s">
        <v>4047</v>
      </c>
      <c r="AM597" t="s">
        <v>244</v>
      </c>
      <c r="AN597" t="s">
        <v>4048</v>
      </c>
      <c r="AO597" t="s">
        <v>4049</v>
      </c>
      <c r="AP597" t="s">
        <v>74</v>
      </c>
      <c r="AQ597" t="s">
        <v>74</v>
      </c>
      <c r="AR597" t="s">
        <v>4051</v>
      </c>
      <c r="AS597" t="s">
        <v>4052</v>
      </c>
      <c r="AT597" t="s">
        <v>7021</v>
      </c>
      <c r="AU597">
        <v>1997</v>
      </c>
      <c r="AV597">
        <v>118</v>
      </c>
      <c r="AW597">
        <v>4</v>
      </c>
      <c r="AX597" t="s">
        <v>74</v>
      </c>
      <c r="AY597" t="s">
        <v>74</v>
      </c>
      <c r="AZ597" t="s">
        <v>74</v>
      </c>
      <c r="BA597" t="s">
        <v>74</v>
      </c>
      <c r="BB597">
        <v>1027</v>
      </c>
      <c r="BC597">
        <v>1030</v>
      </c>
      <c r="BD597" t="s">
        <v>74</v>
      </c>
      <c r="BE597" t="s">
        <v>7296</v>
      </c>
      <c r="BF597" t="str">
        <f>HYPERLINK("http://dx.doi.org/10.1016/S0300-9629(97)00010-8","http://dx.doi.org/10.1016/S0300-9629(97)00010-8")</f>
        <v>http://dx.doi.org/10.1016/S0300-9629(97)00010-8</v>
      </c>
      <c r="BG597" t="s">
        <v>74</v>
      </c>
      <c r="BH597" t="s">
        <v>74</v>
      </c>
      <c r="BI597">
        <v>4</v>
      </c>
      <c r="BJ597" t="s">
        <v>4054</v>
      </c>
      <c r="BK597" t="s">
        <v>3943</v>
      </c>
      <c r="BL597" t="s">
        <v>4054</v>
      </c>
      <c r="BM597" t="s">
        <v>7214</v>
      </c>
      <c r="BN597" t="s">
        <v>74</v>
      </c>
      <c r="BO597" t="s">
        <v>74</v>
      </c>
      <c r="BP597" t="s">
        <v>74</v>
      </c>
      <c r="BQ597" t="s">
        <v>74</v>
      </c>
      <c r="BR597" t="s">
        <v>101</v>
      </c>
      <c r="BS597" t="s">
        <v>7297</v>
      </c>
      <c r="BT597" t="str">
        <f>HYPERLINK("https%3A%2F%2Fwww.webofscience.com%2Fwos%2Fwoscc%2Ffull-record%2FWOS:000071209300014","View Full Record in Web of Science")</f>
        <v>View Full Record in Web of Science</v>
      </c>
    </row>
    <row r="598" spans="1:72" x14ac:dyDescent="0.15">
      <c r="A598" t="s">
        <v>72</v>
      </c>
      <c r="B598" t="s">
        <v>7298</v>
      </c>
      <c r="C598" t="s">
        <v>74</v>
      </c>
      <c r="D598" t="s">
        <v>74</v>
      </c>
      <c r="E598" t="s">
        <v>74</v>
      </c>
      <c r="F598" t="s">
        <v>7298</v>
      </c>
      <c r="G598" t="s">
        <v>74</v>
      </c>
      <c r="H598" t="s">
        <v>74</v>
      </c>
      <c r="I598" t="s">
        <v>7299</v>
      </c>
      <c r="J598" t="s">
        <v>4035</v>
      </c>
      <c r="K598" t="s">
        <v>74</v>
      </c>
      <c r="L598" t="s">
        <v>74</v>
      </c>
      <c r="M598" t="s">
        <v>77</v>
      </c>
      <c r="N598" t="s">
        <v>379</v>
      </c>
      <c r="O598" t="s">
        <v>7218</v>
      </c>
      <c r="P598">
        <v>1995</v>
      </c>
      <c r="Q598" t="s">
        <v>2523</v>
      </c>
      <c r="R598" t="s">
        <v>74</v>
      </c>
      <c r="S598" t="s">
        <v>74</v>
      </c>
      <c r="T598" t="s">
        <v>7300</v>
      </c>
      <c r="U598" t="s">
        <v>7301</v>
      </c>
      <c r="V598" t="s">
        <v>7302</v>
      </c>
      <c r="W598" t="s">
        <v>7303</v>
      </c>
      <c r="X598" t="s">
        <v>5855</v>
      </c>
      <c r="Y598" t="s">
        <v>7293</v>
      </c>
      <c r="Z598" t="s">
        <v>7304</v>
      </c>
      <c r="AA598" t="s">
        <v>7305</v>
      </c>
      <c r="AB598" t="s">
        <v>7306</v>
      </c>
      <c r="AC598" t="s">
        <v>74</v>
      </c>
      <c r="AD598" t="s">
        <v>74</v>
      </c>
      <c r="AE598" t="s">
        <v>74</v>
      </c>
      <c r="AF598" t="s">
        <v>74</v>
      </c>
      <c r="AG598">
        <v>30</v>
      </c>
      <c r="AH598">
        <v>15</v>
      </c>
      <c r="AI598">
        <v>17</v>
      </c>
      <c r="AJ598">
        <v>0</v>
      </c>
      <c r="AK598">
        <v>13</v>
      </c>
      <c r="AL598" t="s">
        <v>4047</v>
      </c>
      <c r="AM598" t="s">
        <v>244</v>
      </c>
      <c r="AN598" t="s">
        <v>4048</v>
      </c>
      <c r="AO598" t="s">
        <v>4049</v>
      </c>
      <c r="AP598" t="s">
        <v>74</v>
      </c>
      <c r="AQ598" t="s">
        <v>74</v>
      </c>
      <c r="AR598" t="s">
        <v>4051</v>
      </c>
      <c r="AS598" t="s">
        <v>4052</v>
      </c>
      <c r="AT598" t="s">
        <v>7021</v>
      </c>
      <c r="AU598">
        <v>1997</v>
      </c>
      <c r="AV598">
        <v>118</v>
      </c>
      <c r="AW598">
        <v>4</v>
      </c>
      <c r="AX598" t="s">
        <v>74</v>
      </c>
      <c r="AY598" t="s">
        <v>74</v>
      </c>
      <c r="AZ598" t="s">
        <v>74</v>
      </c>
      <c r="BA598" t="s">
        <v>74</v>
      </c>
      <c r="BB598">
        <v>1031</v>
      </c>
      <c r="BC598">
        <v>1036</v>
      </c>
      <c r="BD598" t="s">
        <v>74</v>
      </c>
      <c r="BE598" t="s">
        <v>7307</v>
      </c>
      <c r="BF598" t="str">
        <f>HYPERLINK("http://dx.doi.org/10.1016/S0300-9629(97)86791-6","http://dx.doi.org/10.1016/S0300-9629(97)86791-6")</f>
        <v>http://dx.doi.org/10.1016/S0300-9629(97)86791-6</v>
      </c>
      <c r="BG598" t="s">
        <v>74</v>
      </c>
      <c r="BH598" t="s">
        <v>74</v>
      </c>
      <c r="BI598">
        <v>6</v>
      </c>
      <c r="BJ598" t="s">
        <v>4054</v>
      </c>
      <c r="BK598" t="s">
        <v>3943</v>
      </c>
      <c r="BL598" t="s">
        <v>4054</v>
      </c>
      <c r="BM598" t="s">
        <v>7214</v>
      </c>
      <c r="BN598">
        <v>9505417</v>
      </c>
      <c r="BO598" t="s">
        <v>74</v>
      </c>
      <c r="BP598" t="s">
        <v>74</v>
      </c>
      <c r="BQ598" t="s">
        <v>74</v>
      </c>
      <c r="BR598" t="s">
        <v>101</v>
      </c>
      <c r="BS598" t="s">
        <v>7308</v>
      </c>
      <c r="BT598" t="str">
        <f>HYPERLINK("https%3A%2F%2Fwww.webofscience.com%2Fwos%2Fwoscc%2Ffull-record%2FWOS:000071209300015","View Full Record in Web of Science")</f>
        <v>View Full Record in Web of Science</v>
      </c>
    </row>
    <row r="599" spans="1:72" x14ac:dyDescent="0.15">
      <c r="A599" t="s">
        <v>72</v>
      </c>
      <c r="B599" t="s">
        <v>7309</v>
      </c>
      <c r="C599" t="s">
        <v>74</v>
      </c>
      <c r="D599" t="s">
        <v>74</v>
      </c>
      <c r="E599" t="s">
        <v>74</v>
      </c>
      <c r="F599" t="s">
        <v>7309</v>
      </c>
      <c r="G599" t="s">
        <v>74</v>
      </c>
      <c r="H599" t="s">
        <v>74</v>
      </c>
      <c r="I599" t="s">
        <v>7310</v>
      </c>
      <c r="J599" t="s">
        <v>4035</v>
      </c>
      <c r="K599" t="s">
        <v>74</v>
      </c>
      <c r="L599" t="s">
        <v>74</v>
      </c>
      <c r="M599" t="s">
        <v>77</v>
      </c>
      <c r="N599" t="s">
        <v>379</v>
      </c>
      <c r="O599" t="s">
        <v>7218</v>
      </c>
      <c r="P599">
        <v>1995</v>
      </c>
      <c r="Q599" t="s">
        <v>2523</v>
      </c>
      <c r="R599" t="s">
        <v>74</v>
      </c>
      <c r="S599" t="s">
        <v>74</v>
      </c>
      <c r="T599" t="s">
        <v>7311</v>
      </c>
      <c r="U599" t="s">
        <v>7312</v>
      </c>
      <c r="V599" t="s">
        <v>7313</v>
      </c>
      <c r="W599" t="s">
        <v>7314</v>
      </c>
      <c r="X599" t="s">
        <v>5855</v>
      </c>
      <c r="Y599" t="s">
        <v>7293</v>
      </c>
      <c r="Z599" t="s">
        <v>74</v>
      </c>
      <c r="AA599" t="s">
        <v>7315</v>
      </c>
      <c r="AB599" t="s">
        <v>7316</v>
      </c>
      <c r="AC599" t="s">
        <v>74</v>
      </c>
      <c r="AD599" t="s">
        <v>74</v>
      </c>
      <c r="AE599" t="s">
        <v>74</v>
      </c>
      <c r="AF599" t="s">
        <v>74</v>
      </c>
      <c r="AG599">
        <v>51</v>
      </c>
      <c r="AH599">
        <v>14</v>
      </c>
      <c r="AI599">
        <v>15</v>
      </c>
      <c r="AJ599">
        <v>1</v>
      </c>
      <c r="AK599">
        <v>3</v>
      </c>
      <c r="AL599" t="s">
        <v>4047</v>
      </c>
      <c r="AM599" t="s">
        <v>244</v>
      </c>
      <c r="AN599" t="s">
        <v>4048</v>
      </c>
      <c r="AO599" t="s">
        <v>4049</v>
      </c>
      <c r="AP599" t="s">
        <v>74</v>
      </c>
      <c r="AQ599" t="s">
        <v>74</v>
      </c>
      <c r="AR599" t="s">
        <v>4051</v>
      </c>
      <c r="AS599" t="s">
        <v>4052</v>
      </c>
      <c r="AT599" t="s">
        <v>7021</v>
      </c>
      <c r="AU599">
        <v>1997</v>
      </c>
      <c r="AV599">
        <v>118</v>
      </c>
      <c r="AW599">
        <v>4</v>
      </c>
      <c r="AX599" t="s">
        <v>74</v>
      </c>
      <c r="AY599" t="s">
        <v>74</v>
      </c>
      <c r="AZ599" t="s">
        <v>74</v>
      </c>
      <c r="BA599" t="s">
        <v>74</v>
      </c>
      <c r="BB599">
        <v>1037</v>
      </c>
      <c r="BC599">
        <v>1044</v>
      </c>
      <c r="BD599" t="s">
        <v>74</v>
      </c>
      <c r="BE599" t="s">
        <v>7317</v>
      </c>
      <c r="BF599" t="str">
        <f>HYPERLINK("http://dx.doi.org/10.1016/S0300-9629(97)86792-8","http://dx.doi.org/10.1016/S0300-9629(97)86792-8")</f>
        <v>http://dx.doi.org/10.1016/S0300-9629(97)86792-8</v>
      </c>
      <c r="BG599" t="s">
        <v>74</v>
      </c>
      <c r="BH599" t="s">
        <v>74</v>
      </c>
      <c r="BI599">
        <v>8</v>
      </c>
      <c r="BJ599" t="s">
        <v>4054</v>
      </c>
      <c r="BK599" t="s">
        <v>3943</v>
      </c>
      <c r="BL599" t="s">
        <v>4054</v>
      </c>
      <c r="BM599" t="s">
        <v>7214</v>
      </c>
      <c r="BN599">
        <v>9505418</v>
      </c>
      <c r="BO599" t="s">
        <v>74</v>
      </c>
      <c r="BP599" t="s">
        <v>74</v>
      </c>
      <c r="BQ599" t="s">
        <v>74</v>
      </c>
      <c r="BR599" t="s">
        <v>101</v>
      </c>
      <c r="BS599" t="s">
        <v>7318</v>
      </c>
      <c r="BT599" t="str">
        <f>HYPERLINK("https%3A%2F%2Fwww.webofscience.com%2Fwos%2Fwoscc%2Ffull-record%2FWOS:000071209300016","View Full Record in Web of Science")</f>
        <v>View Full Record in Web of Science</v>
      </c>
    </row>
    <row r="600" spans="1:72" x14ac:dyDescent="0.15">
      <c r="A600" t="s">
        <v>72</v>
      </c>
      <c r="B600" t="s">
        <v>7319</v>
      </c>
      <c r="C600" t="s">
        <v>74</v>
      </c>
      <c r="D600" t="s">
        <v>74</v>
      </c>
      <c r="E600" t="s">
        <v>74</v>
      </c>
      <c r="F600" t="s">
        <v>7319</v>
      </c>
      <c r="G600" t="s">
        <v>74</v>
      </c>
      <c r="H600" t="s">
        <v>74</v>
      </c>
      <c r="I600" t="s">
        <v>7320</v>
      </c>
      <c r="J600" t="s">
        <v>4035</v>
      </c>
      <c r="K600" t="s">
        <v>74</v>
      </c>
      <c r="L600" t="s">
        <v>74</v>
      </c>
      <c r="M600" t="s">
        <v>77</v>
      </c>
      <c r="N600" t="s">
        <v>379</v>
      </c>
      <c r="O600" t="s">
        <v>7218</v>
      </c>
      <c r="P600">
        <v>1995</v>
      </c>
      <c r="Q600" t="s">
        <v>2523</v>
      </c>
      <c r="R600" t="s">
        <v>74</v>
      </c>
      <c r="S600" t="s">
        <v>74</v>
      </c>
      <c r="T600" t="s">
        <v>7321</v>
      </c>
      <c r="U600" t="s">
        <v>7322</v>
      </c>
      <c r="V600" t="s">
        <v>7323</v>
      </c>
      <c r="W600" t="s">
        <v>7303</v>
      </c>
      <c r="X600" t="s">
        <v>5855</v>
      </c>
      <c r="Y600" t="s">
        <v>7293</v>
      </c>
      <c r="Z600" t="s">
        <v>74</v>
      </c>
      <c r="AA600" t="s">
        <v>74</v>
      </c>
      <c r="AB600" t="s">
        <v>74</v>
      </c>
      <c r="AC600" t="s">
        <v>74</v>
      </c>
      <c r="AD600" t="s">
        <v>74</v>
      </c>
      <c r="AE600" t="s">
        <v>74</v>
      </c>
      <c r="AF600" t="s">
        <v>74</v>
      </c>
      <c r="AG600">
        <v>34</v>
      </c>
      <c r="AH600">
        <v>14</v>
      </c>
      <c r="AI600">
        <v>14</v>
      </c>
      <c r="AJ600">
        <v>0</v>
      </c>
      <c r="AK600">
        <v>8</v>
      </c>
      <c r="AL600" t="s">
        <v>4047</v>
      </c>
      <c r="AM600" t="s">
        <v>244</v>
      </c>
      <c r="AN600" t="s">
        <v>4048</v>
      </c>
      <c r="AO600" t="s">
        <v>4049</v>
      </c>
      <c r="AP600" t="s">
        <v>74</v>
      </c>
      <c r="AQ600" t="s">
        <v>74</v>
      </c>
      <c r="AR600" t="s">
        <v>4051</v>
      </c>
      <c r="AS600" t="s">
        <v>4052</v>
      </c>
      <c r="AT600" t="s">
        <v>7021</v>
      </c>
      <c r="AU600">
        <v>1997</v>
      </c>
      <c r="AV600">
        <v>118</v>
      </c>
      <c r="AW600">
        <v>4</v>
      </c>
      <c r="AX600" t="s">
        <v>74</v>
      </c>
      <c r="AY600" t="s">
        <v>74</v>
      </c>
      <c r="AZ600" t="s">
        <v>74</v>
      </c>
      <c r="BA600" t="s">
        <v>74</v>
      </c>
      <c r="BB600">
        <v>1045</v>
      </c>
      <c r="BC600">
        <v>1049</v>
      </c>
      <c r="BD600" t="s">
        <v>74</v>
      </c>
      <c r="BE600" t="s">
        <v>7324</v>
      </c>
      <c r="BF600" t="str">
        <f>HYPERLINK("http://dx.doi.org/10.1016/S0300-9629(97)86793-X","http://dx.doi.org/10.1016/S0300-9629(97)86793-X")</f>
        <v>http://dx.doi.org/10.1016/S0300-9629(97)86793-X</v>
      </c>
      <c r="BG600" t="s">
        <v>74</v>
      </c>
      <c r="BH600" t="s">
        <v>74</v>
      </c>
      <c r="BI600">
        <v>5</v>
      </c>
      <c r="BJ600" t="s">
        <v>4054</v>
      </c>
      <c r="BK600" t="s">
        <v>3943</v>
      </c>
      <c r="BL600" t="s">
        <v>4054</v>
      </c>
      <c r="BM600" t="s">
        <v>7214</v>
      </c>
      <c r="BN600">
        <v>12645547</v>
      </c>
      <c r="BO600" t="s">
        <v>74</v>
      </c>
      <c r="BP600" t="s">
        <v>74</v>
      </c>
      <c r="BQ600" t="s">
        <v>74</v>
      </c>
      <c r="BR600" t="s">
        <v>101</v>
      </c>
      <c r="BS600" t="s">
        <v>7325</v>
      </c>
      <c r="BT600" t="str">
        <f>HYPERLINK("https%3A%2F%2Fwww.webofscience.com%2Fwos%2Fwoscc%2Ffull-record%2FWOS:000071209300017","View Full Record in Web of Science")</f>
        <v>View Full Record in Web of Science</v>
      </c>
    </row>
    <row r="601" spans="1:72" x14ac:dyDescent="0.15">
      <c r="A601" t="s">
        <v>72</v>
      </c>
      <c r="B601" t="s">
        <v>7326</v>
      </c>
      <c r="C601" t="s">
        <v>74</v>
      </c>
      <c r="D601" t="s">
        <v>74</v>
      </c>
      <c r="E601" t="s">
        <v>74</v>
      </c>
      <c r="F601" t="s">
        <v>7326</v>
      </c>
      <c r="G601" t="s">
        <v>74</v>
      </c>
      <c r="H601" t="s">
        <v>74</v>
      </c>
      <c r="I601" t="s">
        <v>7327</v>
      </c>
      <c r="J601" t="s">
        <v>4035</v>
      </c>
      <c r="K601" t="s">
        <v>74</v>
      </c>
      <c r="L601" t="s">
        <v>74</v>
      </c>
      <c r="M601" t="s">
        <v>77</v>
      </c>
      <c r="N601" t="s">
        <v>379</v>
      </c>
      <c r="O601" t="s">
        <v>7218</v>
      </c>
      <c r="P601">
        <v>1995</v>
      </c>
      <c r="Q601" t="s">
        <v>2523</v>
      </c>
      <c r="R601" t="s">
        <v>74</v>
      </c>
      <c r="S601" t="s">
        <v>74</v>
      </c>
      <c r="T601" t="s">
        <v>7328</v>
      </c>
      <c r="U601" t="s">
        <v>7329</v>
      </c>
      <c r="V601" t="s">
        <v>7330</v>
      </c>
      <c r="W601" t="s">
        <v>7331</v>
      </c>
      <c r="X601" t="s">
        <v>7332</v>
      </c>
      <c r="Y601" t="s">
        <v>7333</v>
      </c>
      <c r="Z601" t="s">
        <v>7334</v>
      </c>
      <c r="AA601" t="s">
        <v>74</v>
      </c>
      <c r="AB601" t="s">
        <v>74</v>
      </c>
      <c r="AC601" t="s">
        <v>74</v>
      </c>
      <c r="AD601" t="s">
        <v>74</v>
      </c>
      <c r="AE601" t="s">
        <v>74</v>
      </c>
      <c r="AF601" t="s">
        <v>74</v>
      </c>
      <c r="AG601">
        <v>68</v>
      </c>
      <c r="AH601">
        <v>1</v>
      </c>
      <c r="AI601">
        <v>1</v>
      </c>
      <c r="AJ601">
        <v>1</v>
      </c>
      <c r="AK601">
        <v>6</v>
      </c>
      <c r="AL601" t="s">
        <v>4047</v>
      </c>
      <c r="AM601" t="s">
        <v>244</v>
      </c>
      <c r="AN601" t="s">
        <v>4048</v>
      </c>
      <c r="AO601" t="s">
        <v>4049</v>
      </c>
      <c r="AP601" t="s">
        <v>74</v>
      </c>
      <c r="AQ601" t="s">
        <v>74</v>
      </c>
      <c r="AR601" t="s">
        <v>4051</v>
      </c>
      <c r="AS601" t="s">
        <v>4052</v>
      </c>
      <c r="AT601" t="s">
        <v>7021</v>
      </c>
      <c r="AU601">
        <v>1997</v>
      </c>
      <c r="AV601">
        <v>118</v>
      </c>
      <c r="AW601">
        <v>4</v>
      </c>
      <c r="AX601" t="s">
        <v>74</v>
      </c>
      <c r="AY601" t="s">
        <v>74</v>
      </c>
      <c r="AZ601" t="s">
        <v>74</v>
      </c>
      <c r="BA601" t="s">
        <v>74</v>
      </c>
      <c r="BB601">
        <v>1051</v>
      </c>
      <c r="BC601">
        <v>1066</v>
      </c>
      <c r="BD601" t="s">
        <v>74</v>
      </c>
      <c r="BE601" t="s">
        <v>7335</v>
      </c>
      <c r="BF601" t="str">
        <f>HYPERLINK("http://dx.doi.org/10.1016/S0300-9629(97)86794-1","http://dx.doi.org/10.1016/S0300-9629(97)86794-1")</f>
        <v>http://dx.doi.org/10.1016/S0300-9629(97)86794-1</v>
      </c>
      <c r="BG601" t="s">
        <v>74</v>
      </c>
      <c r="BH601" t="s">
        <v>74</v>
      </c>
      <c r="BI601">
        <v>16</v>
      </c>
      <c r="BJ601" t="s">
        <v>4054</v>
      </c>
      <c r="BK601" t="s">
        <v>3943</v>
      </c>
      <c r="BL601" t="s">
        <v>4054</v>
      </c>
      <c r="BM601" t="s">
        <v>7214</v>
      </c>
      <c r="BN601" t="s">
        <v>74</v>
      </c>
      <c r="BO601" t="s">
        <v>74</v>
      </c>
      <c r="BP601" t="s">
        <v>74</v>
      </c>
      <c r="BQ601" t="s">
        <v>74</v>
      </c>
      <c r="BR601" t="s">
        <v>101</v>
      </c>
      <c r="BS601" t="s">
        <v>7336</v>
      </c>
      <c r="BT601" t="str">
        <f>HYPERLINK("https%3A%2F%2Fwww.webofscience.com%2Fwos%2Fwoscc%2Ffull-record%2FWOS:000071209300018","View Full Record in Web of Science")</f>
        <v>View Full Record in Web of Science</v>
      </c>
    </row>
    <row r="602" spans="1:72" x14ac:dyDescent="0.15">
      <c r="A602" t="s">
        <v>72</v>
      </c>
      <c r="B602" t="s">
        <v>7337</v>
      </c>
      <c r="C602" t="s">
        <v>74</v>
      </c>
      <c r="D602" t="s">
        <v>74</v>
      </c>
      <c r="E602" t="s">
        <v>74</v>
      </c>
      <c r="F602" t="s">
        <v>7337</v>
      </c>
      <c r="G602" t="s">
        <v>74</v>
      </c>
      <c r="H602" t="s">
        <v>74</v>
      </c>
      <c r="I602" t="s">
        <v>7338</v>
      </c>
      <c r="J602" t="s">
        <v>4035</v>
      </c>
      <c r="K602" t="s">
        <v>74</v>
      </c>
      <c r="L602" t="s">
        <v>74</v>
      </c>
      <c r="M602" t="s">
        <v>77</v>
      </c>
      <c r="N602" t="s">
        <v>379</v>
      </c>
      <c r="O602" t="s">
        <v>7218</v>
      </c>
      <c r="P602">
        <v>1995</v>
      </c>
      <c r="Q602" t="s">
        <v>2523</v>
      </c>
      <c r="R602" t="s">
        <v>74</v>
      </c>
      <c r="S602" t="s">
        <v>74</v>
      </c>
      <c r="T602" t="s">
        <v>7339</v>
      </c>
      <c r="U602" t="s">
        <v>7340</v>
      </c>
      <c r="V602" t="s">
        <v>7341</v>
      </c>
      <c r="W602" t="s">
        <v>7342</v>
      </c>
      <c r="X602" t="s">
        <v>322</v>
      </c>
      <c r="Y602" t="s">
        <v>7343</v>
      </c>
      <c r="Z602" t="s">
        <v>7344</v>
      </c>
      <c r="AA602" t="s">
        <v>74</v>
      </c>
      <c r="AB602" t="s">
        <v>74</v>
      </c>
      <c r="AC602" t="s">
        <v>74</v>
      </c>
      <c r="AD602" t="s">
        <v>74</v>
      </c>
      <c r="AE602" t="s">
        <v>74</v>
      </c>
      <c r="AF602" t="s">
        <v>74</v>
      </c>
      <c r="AG602">
        <v>84</v>
      </c>
      <c r="AH602">
        <v>39</v>
      </c>
      <c r="AI602">
        <v>42</v>
      </c>
      <c r="AJ602">
        <v>3</v>
      </c>
      <c r="AK602">
        <v>17</v>
      </c>
      <c r="AL602" t="s">
        <v>4047</v>
      </c>
      <c r="AM602" t="s">
        <v>244</v>
      </c>
      <c r="AN602" t="s">
        <v>4048</v>
      </c>
      <c r="AO602" t="s">
        <v>4049</v>
      </c>
      <c r="AP602" t="s">
        <v>4050</v>
      </c>
      <c r="AQ602" t="s">
        <v>74</v>
      </c>
      <c r="AR602" t="s">
        <v>4051</v>
      </c>
      <c r="AS602" t="s">
        <v>4052</v>
      </c>
      <c r="AT602" t="s">
        <v>7021</v>
      </c>
      <c r="AU602">
        <v>1997</v>
      </c>
      <c r="AV602">
        <v>118</v>
      </c>
      <c r="AW602">
        <v>4</v>
      </c>
      <c r="AX602" t="s">
        <v>74</v>
      </c>
      <c r="AY602" t="s">
        <v>74</v>
      </c>
      <c r="AZ602" t="s">
        <v>74</v>
      </c>
      <c r="BA602" t="s">
        <v>74</v>
      </c>
      <c r="BB602">
        <v>1067</v>
      </c>
      <c r="BC602">
        <v>1077</v>
      </c>
      <c r="BD602" t="s">
        <v>74</v>
      </c>
      <c r="BE602" t="s">
        <v>7345</v>
      </c>
      <c r="BF602" t="str">
        <f>HYPERLINK("http://dx.doi.org/10.1016/S0300-9629(97)86795-3","http://dx.doi.org/10.1016/S0300-9629(97)86795-3")</f>
        <v>http://dx.doi.org/10.1016/S0300-9629(97)86795-3</v>
      </c>
      <c r="BG602" t="s">
        <v>74</v>
      </c>
      <c r="BH602" t="s">
        <v>74</v>
      </c>
      <c r="BI602">
        <v>11</v>
      </c>
      <c r="BJ602" t="s">
        <v>4054</v>
      </c>
      <c r="BK602" t="s">
        <v>3943</v>
      </c>
      <c r="BL602" t="s">
        <v>4054</v>
      </c>
      <c r="BM602" t="s">
        <v>7214</v>
      </c>
      <c r="BN602" t="s">
        <v>74</v>
      </c>
      <c r="BO602" t="s">
        <v>74</v>
      </c>
      <c r="BP602" t="s">
        <v>74</v>
      </c>
      <c r="BQ602" t="s">
        <v>74</v>
      </c>
      <c r="BR602" t="s">
        <v>101</v>
      </c>
      <c r="BS602" t="s">
        <v>7346</v>
      </c>
      <c r="BT602" t="str">
        <f>HYPERLINK("https%3A%2F%2Fwww.webofscience.com%2Fwos%2Fwoscc%2Ffull-record%2FWOS:000071209300019","View Full Record in Web of Science")</f>
        <v>View Full Record in Web of Science</v>
      </c>
    </row>
    <row r="603" spans="1:72" x14ac:dyDescent="0.15">
      <c r="A603" t="s">
        <v>72</v>
      </c>
      <c r="B603" t="s">
        <v>7347</v>
      </c>
      <c r="C603" t="s">
        <v>74</v>
      </c>
      <c r="D603" t="s">
        <v>74</v>
      </c>
      <c r="E603" t="s">
        <v>74</v>
      </c>
      <c r="F603" t="s">
        <v>7347</v>
      </c>
      <c r="G603" t="s">
        <v>74</v>
      </c>
      <c r="H603" t="s">
        <v>74</v>
      </c>
      <c r="I603" t="s">
        <v>7348</v>
      </c>
      <c r="J603" t="s">
        <v>4035</v>
      </c>
      <c r="K603" t="s">
        <v>74</v>
      </c>
      <c r="L603" t="s">
        <v>74</v>
      </c>
      <c r="M603" t="s">
        <v>77</v>
      </c>
      <c r="N603" t="s">
        <v>379</v>
      </c>
      <c r="O603" t="s">
        <v>7218</v>
      </c>
      <c r="P603">
        <v>1995</v>
      </c>
      <c r="Q603" t="s">
        <v>2523</v>
      </c>
      <c r="R603" t="s">
        <v>74</v>
      </c>
      <c r="S603" t="s">
        <v>74</v>
      </c>
      <c r="T603" t="s">
        <v>7349</v>
      </c>
      <c r="U603" t="s">
        <v>7350</v>
      </c>
      <c r="V603" t="s">
        <v>7351</v>
      </c>
      <c r="W603" t="s">
        <v>7352</v>
      </c>
      <c r="X603" t="s">
        <v>7353</v>
      </c>
      <c r="Y603" t="s">
        <v>7354</v>
      </c>
      <c r="Z603" t="s">
        <v>7355</v>
      </c>
      <c r="AA603" t="s">
        <v>74</v>
      </c>
      <c r="AB603" t="s">
        <v>74</v>
      </c>
      <c r="AC603" t="s">
        <v>74</v>
      </c>
      <c r="AD603" t="s">
        <v>74</v>
      </c>
      <c r="AE603" t="s">
        <v>74</v>
      </c>
      <c r="AF603" t="s">
        <v>74</v>
      </c>
      <c r="AG603">
        <v>33</v>
      </c>
      <c r="AH603">
        <v>9</v>
      </c>
      <c r="AI603">
        <v>9</v>
      </c>
      <c r="AJ603">
        <v>0</v>
      </c>
      <c r="AK603">
        <v>2</v>
      </c>
      <c r="AL603" t="s">
        <v>4047</v>
      </c>
      <c r="AM603" t="s">
        <v>244</v>
      </c>
      <c r="AN603" t="s">
        <v>4048</v>
      </c>
      <c r="AO603" t="s">
        <v>4049</v>
      </c>
      <c r="AP603" t="s">
        <v>4050</v>
      </c>
      <c r="AQ603" t="s">
        <v>74</v>
      </c>
      <c r="AR603" t="s">
        <v>4051</v>
      </c>
      <c r="AS603" t="s">
        <v>4052</v>
      </c>
      <c r="AT603" t="s">
        <v>7021</v>
      </c>
      <c r="AU603">
        <v>1997</v>
      </c>
      <c r="AV603">
        <v>118</v>
      </c>
      <c r="AW603">
        <v>4</v>
      </c>
      <c r="AX603" t="s">
        <v>74</v>
      </c>
      <c r="AY603" t="s">
        <v>74</v>
      </c>
      <c r="AZ603" t="s">
        <v>74</v>
      </c>
      <c r="BA603" t="s">
        <v>74</v>
      </c>
      <c r="BB603">
        <v>1083</v>
      </c>
      <c r="BC603">
        <v>1086</v>
      </c>
      <c r="BD603" t="s">
        <v>74</v>
      </c>
      <c r="BE603" t="s">
        <v>7356</v>
      </c>
      <c r="BF603" t="str">
        <f>HYPERLINK("http://dx.doi.org/10.1016/S0300-9629(97)00018-2","http://dx.doi.org/10.1016/S0300-9629(97)00018-2")</f>
        <v>http://dx.doi.org/10.1016/S0300-9629(97)00018-2</v>
      </c>
      <c r="BG603" t="s">
        <v>74</v>
      </c>
      <c r="BH603" t="s">
        <v>74</v>
      </c>
      <c r="BI603">
        <v>4</v>
      </c>
      <c r="BJ603" t="s">
        <v>4054</v>
      </c>
      <c r="BK603" t="s">
        <v>3943</v>
      </c>
      <c r="BL603" t="s">
        <v>4054</v>
      </c>
      <c r="BM603" t="s">
        <v>7214</v>
      </c>
      <c r="BN603">
        <v>9505419</v>
      </c>
      <c r="BO603" t="s">
        <v>74</v>
      </c>
      <c r="BP603" t="s">
        <v>74</v>
      </c>
      <c r="BQ603" t="s">
        <v>74</v>
      </c>
      <c r="BR603" t="s">
        <v>101</v>
      </c>
      <c r="BS603" t="s">
        <v>7357</v>
      </c>
      <c r="BT603" t="str">
        <f>HYPERLINK("https%3A%2F%2Fwww.webofscience.com%2Fwos%2Fwoscc%2Ffull-record%2FWOS:000071209300021","View Full Record in Web of Science")</f>
        <v>View Full Record in Web of Science</v>
      </c>
    </row>
    <row r="604" spans="1:72" x14ac:dyDescent="0.15">
      <c r="A604" t="s">
        <v>72</v>
      </c>
      <c r="B604" t="s">
        <v>7358</v>
      </c>
      <c r="C604" t="s">
        <v>74</v>
      </c>
      <c r="D604" t="s">
        <v>74</v>
      </c>
      <c r="E604" t="s">
        <v>74</v>
      </c>
      <c r="F604" t="s">
        <v>7358</v>
      </c>
      <c r="G604" t="s">
        <v>74</v>
      </c>
      <c r="H604" t="s">
        <v>74</v>
      </c>
      <c r="I604" t="s">
        <v>7359</v>
      </c>
      <c r="J604" t="s">
        <v>4035</v>
      </c>
      <c r="K604" t="s">
        <v>74</v>
      </c>
      <c r="L604" t="s">
        <v>74</v>
      </c>
      <c r="M604" t="s">
        <v>77</v>
      </c>
      <c r="N604" t="s">
        <v>379</v>
      </c>
      <c r="O604" t="s">
        <v>7218</v>
      </c>
      <c r="P604">
        <v>1995</v>
      </c>
      <c r="Q604" t="s">
        <v>2523</v>
      </c>
      <c r="R604" t="s">
        <v>74</v>
      </c>
      <c r="S604" t="s">
        <v>74</v>
      </c>
      <c r="T604" t="s">
        <v>7360</v>
      </c>
      <c r="U604" t="s">
        <v>7361</v>
      </c>
      <c r="V604" t="s">
        <v>7362</v>
      </c>
      <c r="W604" t="s">
        <v>7363</v>
      </c>
      <c r="X604" t="s">
        <v>7364</v>
      </c>
      <c r="Y604" t="s">
        <v>7365</v>
      </c>
      <c r="Z604" t="s">
        <v>7366</v>
      </c>
      <c r="AA604" t="s">
        <v>74</v>
      </c>
      <c r="AB604" t="s">
        <v>74</v>
      </c>
      <c r="AC604" t="s">
        <v>74</v>
      </c>
      <c r="AD604" t="s">
        <v>74</v>
      </c>
      <c r="AE604" t="s">
        <v>74</v>
      </c>
      <c r="AF604" t="s">
        <v>74</v>
      </c>
      <c r="AG604">
        <v>49</v>
      </c>
      <c r="AH604">
        <v>6</v>
      </c>
      <c r="AI604">
        <v>7</v>
      </c>
      <c r="AJ604">
        <v>2</v>
      </c>
      <c r="AK604">
        <v>4</v>
      </c>
      <c r="AL604" t="s">
        <v>4047</v>
      </c>
      <c r="AM604" t="s">
        <v>244</v>
      </c>
      <c r="AN604" t="s">
        <v>4048</v>
      </c>
      <c r="AO604" t="s">
        <v>4049</v>
      </c>
      <c r="AP604" t="s">
        <v>74</v>
      </c>
      <c r="AQ604" t="s">
        <v>74</v>
      </c>
      <c r="AR604" t="s">
        <v>4051</v>
      </c>
      <c r="AS604" t="s">
        <v>4052</v>
      </c>
      <c r="AT604" t="s">
        <v>7021</v>
      </c>
      <c r="AU604">
        <v>1997</v>
      </c>
      <c r="AV604">
        <v>118</v>
      </c>
      <c r="AW604">
        <v>4</v>
      </c>
      <c r="AX604" t="s">
        <v>74</v>
      </c>
      <c r="AY604" t="s">
        <v>74</v>
      </c>
      <c r="AZ604" t="s">
        <v>74</v>
      </c>
      <c r="BA604" t="s">
        <v>74</v>
      </c>
      <c r="BB604">
        <v>1087</v>
      </c>
      <c r="BC604">
        <v>1094</v>
      </c>
      <c r="BD604" t="s">
        <v>74</v>
      </c>
      <c r="BE604" t="s">
        <v>7367</v>
      </c>
      <c r="BF604" t="str">
        <f>HYPERLINK("http://dx.doi.org/10.1016/S0300-9629(97)86797-7","http://dx.doi.org/10.1016/S0300-9629(97)86797-7")</f>
        <v>http://dx.doi.org/10.1016/S0300-9629(97)86797-7</v>
      </c>
      <c r="BG604" t="s">
        <v>74</v>
      </c>
      <c r="BH604" t="s">
        <v>74</v>
      </c>
      <c r="BI604">
        <v>8</v>
      </c>
      <c r="BJ604" t="s">
        <v>4054</v>
      </c>
      <c r="BK604" t="s">
        <v>3943</v>
      </c>
      <c r="BL604" t="s">
        <v>4054</v>
      </c>
      <c r="BM604" t="s">
        <v>7214</v>
      </c>
      <c r="BN604" t="s">
        <v>74</v>
      </c>
      <c r="BO604" t="s">
        <v>74</v>
      </c>
      <c r="BP604" t="s">
        <v>74</v>
      </c>
      <c r="BQ604" t="s">
        <v>74</v>
      </c>
      <c r="BR604" t="s">
        <v>101</v>
      </c>
      <c r="BS604" t="s">
        <v>7368</v>
      </c>
      <c r="BT604" t="str">
        <f>HYPERLINK("https%3A%2F%2Fwww.webofscience.com%2Fwos%2Fwoscc%2Ffull-record%2FWOS:000071209300022","View Full Record in Web of Science")</f>
        <v>View Full Record in Web of Science</v>
      </c>
    </row>
    <row r="605" spans="1:72" x14ac:dyDescent="0.15">
      <c r="A605" t="s">
        <v>72</v>
      </c>
      <c r="B605" t="s">
        <v>7369</v>
      </c>
      <c r="C605" t="s">
        <v>74</v>
      </c>
      <c r="D605" t="s">
        <v>74</v>
      </c>
      <c r="E605" t="s">
        <v>74</v>
      </c>
      <c r="F605" t="s">
        <v>7369</v>
      </c>
      <c r="G605" t="s">
        <v>74</v>
      </c>
      <c r="H605" t="s">
        <v>74</v>
      </c>
      <c r="I605" t="s">
        <v>7370</v>
      </c>
      <c r="J605" t="s">
        <v>4035</v>
      </c>
      <c r="K605" t="s">
        <v>74</v>
      </c>
      <c r="L605" t="s">
        <v>74</v>
      </c>
      <c r="M605" t="s">
        <v>77</v>
      </c>
      <c r="N605" t="s">
        <v>379</v>
      </c>
      <c r="O605" t="s">
        <v>7218</v>
      </c>
      <c r="P605">
        <v>1995</v>
      </c>
      <c r="Q605" t="s">
        <v>2523</v>
      </c>
      <c r="R605" t="s">
        <v>74</v>
      </c>
      <c r="S605" t="s">
        <v>74</v>
      </c>
      <c r="T605" t="s">
        <v>7371</v>
      </c>
      <c r="U605" t="s">
        <v>7372</v>
      </c>
      <c r="V605" t="s">
        <v>7373</v>
      </c>
      <c r="W605" t="s">
        <v>7374</v>
      </c>
      <c r="X605" t="s">
        <v>7375</v>
      </c>
      <c r="Y605" t="s">
        <v>7376</v>
      </c>
      <c r="Z605" t="s">
        <v>7377</v>
      </c>
      <c r="AA605" t="s">
        <v>7378</v>
      </c>
      <c r="AB605" t="s">
        <v>7379</v>
      </c>
      <c r="AC605" t="s">
        <v>74</v>
      </c>
      <c r="AD605" t="s">
        <v>74</v>
      </c>
      <c r="AE605" t="s">
        <v>74</v>
      </c>
      <c r="AF605" t="s">
        <v>74</v>
      </c>
      <c r="AG605">
        <v>46</v>
      </c>
      <c r="AH605">
        <v>33</v>
      </c>
      <c r="AI605">
        <v>34</v>
      </c>
      <c r="AJ605">
        <v>1</v>
      </c>
      <c r="AK605">
        <v>7</v>
      </c>
      <c r="AL605" t="s">
        <v>4047</v>
      </c>
      <c r="AM605" t="s">
        <v>244</v>
      </c>
      <c r="AN605" t="s">
        <v>4048</v>
      </c>
      <c r="AO605" t="s">
        <v>4049</v>
      </c>
      <c r="AP605" t="s">
        <v>4050</v>
      </c>
      <c r="AQ605" t="s">
        <v>74</v>
      </c>
      <c r="AR605" t="s">
        <v>4051</v>
      </c>
      <c r="AS605" t="s">
        <v>4052</v>
      </c>
      <c r="AT605" t="s">
        <v>7021</v>
      </c>
      <c r="AU605">
        <v>1997</v>
      </c>
      <c r="AV605">
        <v>118</v>
      </c>
      <c r="AW605">
        <v>4</v>
      </c>
      <c r="AX605" t="s">
        <v>74</v>
      </c>
      <c r="AY605" t="s">
        <v>74</v>
      </c>
      <c r="AZ605" t="s">
        <v>74</v>
      </c>
      <c r="BA605" t="s">
        <v>74</v>
      </c>
      <c r="BB605">
        <v>1095</v>
      </c>
      <c r="BC605">
        <v>1101</v>
      </c>
      <c r="BD605" t="s">
        <v>74</v>
      </c>
      <c r="BE605" t="s">
        <v>7380</v>
      </c>
      <c r="BF605" t="str">
        <f>HYPERLINK("http://dx.doi.org/10.1016/S0300-9629(97)86798-9","http://dx.doi.org/10.1016/S0300-9629(97)86798-9")</f>
        <v>http://dx.doi.org/10.1016/S0300-9629(97)86798-9</v>
      </c>
      <c r="BG605" t="s">
        <v>74</v>
      </c>
      <c r="BH605" t="s">
        <v>74</v>
      </c>
      <c r="BI605">
        <v>7</v>
      </c>
      <c r="BJ605" t="s">
        <v>4054</v>
      </c>
      <c r="BK605" t="s">
        <v>3943</v>
      </c>
      <c r="BL605" t="s">
        <v>4054</v>
      </c>
      <c r="BM605" t="s">
        <v>7214</v>
      </c>
      <c r="BN605" t="s">
        <v>74</v>
      </c>
      <c r="BO605" t="s">
        <v>74</v>
      </c>
      <c r="BP605" t="s">
        <v>74</v>
      </c>
      <c r="BQ605" t="s">
        <v>74</v>
      </c>
      <c r="BR605" t="s">
        <v>101</v>
      </c>
      <c r="BS605" t="s">
        <v>7381</v>
      </c>
      <c r="BT605" t="str">
        <f>HYPERLINK("https%3A%2F%2Fwww.webofscience.com%2Fwos%2Fwoscc%2Ffull-record%2FWOS:000071209300023","View Full Record in Web of Science")</f>
        <v>View Full Record in Web of Science</v>
      </c>
    </row>
    <row r="606" spans="1:72" x14ac:dyDescent="0.15">
      <c r="A606" t="s">
        <v>72</v>
      </c>
      <c r="B606" t="s">
        <v>7382</v>
      </c>
      <c r="C606" t="s">
        <v>74</v>
      </c>
      <c r="D606" t="s">
        <v>74</v>
      </c>
      <c r="E606" t="s">
        <v>74</v>
      </c>
      <c r="F606" t="s">
        <v>7382</v>
      </c>
      <c r="G606" t="s">
        <v>74</v>
      </c>
      <c r="H606" t="s">
        <v>74</v>
      </c>
      <c r="I606" t="s">
        <v>7383</v>
      </c>
      <c r="J606" t="s">
        <v>4035</v>
      </c>
      <c r="K606" t="s">
        <v>74</v>
      </c>
      <c r="L606" t="s">
        <v>74</v>
      </c>
      <c r="M606" t="s">
        <v>77</v>
      </c>
      <c r="N606" t="s">
        <v>494</v>
      </c>
      <c r="O606" t="s">
        <v>74</v>
      </c>
      <c r="P606" t="s">
        <v>74</v>
      </c>
      <c r="Q606" t="s">
        <v>74</v>
      </c>
      <c r="R606" t="s">
        <v>74</v>
      </c>
      <c r="S606" t="s">
        <v>74</v>
      </c>
      <c r="T606" t="s">
        <v>7384</v>
      </c>
      <c r="U606" t="s">
        <v>7385</v>
      </c>
      <c r="V606" t="s">
        <v>7386</v>
      </c>
      <c r="W606" t="s">
        <v>7387</v>
      </c>
      <c r="X606" t="s">
        <v>7388</v>
      </c>
      <c r="Y606" t="s">
        <v>7389</v>
      </c>
      <c r="Z606" t="s">
        <v>7257</v>
      </c>
      <c r="AA606" t="s">
        <v>74</v>
      </c>
      <c r="AB606" t="s">
        <v>7390</v>
      </c>
      <c r="AC606" t="s">
        <v>74</v>
      </c>
      <c r="AD606" t="s">
        <v>74</v>
      </c>
      <c r="AE606" t="s">
        <v>74</v>
      </c>
      <c r="AF606" t="s">
        <v>74</v>
      </c>
      <c r="AG606">
        <v>35</v>
      </c>
      <c r="AH606">
        <v>11</v>
      </c>
      <c r="AI606">
        <v>12</v>
      </c>
      <c r="AJ606">
        <v>0</v>
      </c>
      <c r="AK606">
        <v>8</v>
      </c>
      <c r="AL606" t="s">
        <v>4047</v>
      </c>
      <c r="AM606" t="s">
        <v>244</v>
      </c>
      <c r="AN606" t="s">
        <v>4048</v>
      </c>
      <c r="AO606" t="s">
        <v>4049</v>
      </c>
      <c r="AP606" t="s">
        <v>74</v>
      </c>
      <c r="AQ606" t="s">
        <v>74</v>
      </c>
      <c r="AR606" t="s">
        <v>4051</v>
      </c>
      <c r="AS606" t="s">
        <v>4052</v>
      </c>
      <c r="AT606" t="s">
        <v>7021</v>
      </c>
      <c r="AU606">
        <v>1997</v>
      </c>
      <c r="AV606">
        <v>118</v>
      </c>
      <c r="AW606">
        <v>4</v>
      </c>
      <c r="AX606" t="s">
        <v>74</v>
      </c>
      <c r="AY606" t="s">
        <v>74</v>
      </c>
      <c r="AZ606" t="s">
        <v>74</v>
      </c>
      <c r="BA606" t="s">
        <v>74</v>
      </c>
      <c r="BB606">
        <v>1437</v>
      </c>
      <c r="BC606">
        <v>1445</v>
      </c>
      <c r="BD606" t="s">
        <v>74</v>
      </c>
      <c r="BE606" t="s">
        <v>7391</v>
      </c>
      <c r="BF606" t="str">
        <f>HYPERLINK("http://dx.doi.org/10.1016/S0300-9629(97)00044-3","http://dx.doi.org/10.1016/S0300-9629(97)00044-3")</f>
        <v>http://dx.doi.org/10.1016/S0300-9629(97)00044-3</v>
      </c>
      <c r="BG606" t="s">
        <v>74</v>
      </c>
      <c r="BH606" t="s">
        <v>74</v>
      </c>
      <c r="BI606">
        <v>9</v>
      </c>
      <c r="BJ606" t="s">
        <v>4054</v>
      </c>
      <c r="BK606" t="s">
        <v>98</v>
      </c>
      <c r="BL606" t="s">
        <v>4054</v>
      </c>
      <c r="BM606" t="s">
        <v>7214</v>
      </c>
      <c r="BN606" t="s">
        <v>74</v>
      </c>
      <c r="BO606" t="s">
        <v>74</v>
      </c>
      <c r="BP606" t="s">
        <v>74</v>
      </c>
      <c r="BQ606" t="s">
        <v>74</v>
      </c>
      <c r="BR606" t="s">
        <v>101</v>
      </c>
      <c r="BS606" t="s">
        <v>7392</v>
      </c>
      <c r="BT606" t="str">
        <f>HYPERLINK("https%3A%2F%2Fwww.webofscience.com%2Fwos%2Fwoscc%2Ffull-record%2FWOS:000071209300065","View Full Record in Web of Science")</f>
        <v>View Full Record in Web of Science</v>
      </c>
    </row>
    <row r="607" spans="1:72" x14ac:dyDescent="0.15">
      <c r="A607" t="s">
        <v>72</v>
      </c>
      <c r="B607" t="s">
        <v>7393</v>
      </c>
      <c r="C607" t="s">
        <v>74</v>
      </c>
      <c r="D607" t="s">
        <v>74</v>
      </c>
      <c r="E607" t="s">
        <v>74</v>
      </c>
      <c r="F607" t="s">
        <v>7393</v>
      </c>
      <c r="G607" t="s">
        <v>74</v>
      </c>
      <c r="H607" t="s">
        <v>74</v>
      </c>
      <c r="I607" t="s">
        <v>7394</v>
      </c>
      <c r="J607" t="s">
        <v>1464</v>
      </c>
      <c r="K607" t="s">
        <v>74</v>
      </c>
      <c r="L607" t="s">
        <v>74</v>
      </c>
      <c r="M607" t="s">
        <v>77</v>
      </c>
      <c r="N607" t="s">
        <v>78</v>
      </c>
      <c r="O607" t="s">
        <v>74</v>
      </c>
      <c r="P607" t="s">
        <v>74</v>
      </c>
      <c r="Q607" t="s">
        <v>74</v>
      </c>
      <c r="R607" t="s">
        <v>74</v>
      </c>
      <c r="S607" t="s">
        <v>74</v>
      </c>
      <c r="T607" t="s">
        <v>7395</v>
      </c>
      <c r="U607" t="s">
        <v>7396</v>
      </c>
      <c r="V607" t="s">
        <v>7397</v>
      </c>
      <c r="W607" t="s">
        <v>7398</v>
      </c>
      <c r="X607" t="s">
        <v>7399</v>
      </c>
      <c r="Y607" t="s">
        <v>7400</v>
      </c>
      <c r="Z607" t="s">
        <v>74</v>
      </c>
      <c r="AA607" t="s">
        <v>7401</v>
      </c>
      <c r="AB607" t="s">
        <v>74</v>
      </c>
      <c r="AC607" t="s">
        <v>74</v>
      </c>
      <c r="AD607" t="s">
        <v>74</v>
      </c>
      <c r="AE607" t="s">
        <v>74</v>
      </c>
      <c r="AF607" t="s">
        <v>74</v>
      </c>
      <c r="AG607">
        <v>67</v>
      </c>
      <c r="AH607">
        <v>40</v>
      </c>
      <c r="AI607">
        <v>44</v>
      </c>
      <c r="AJ607">
        <v>0</v>
      </c>
      <c r="AK607">
        <v>1</v>
      </c>
      <c r="AL607" t="s">
        <v>1469</v>
      </c>
      <c r="AM607" t="s">
        <v>201</v>
      </c>
      <c r="AN607" t="s">
        <v>1470</v>
      </c>
      <c r="AO607" t="s">
        <v>1471</v>
      </c>
      <c r="AP607" t="s">
        <v>74</v>
      </c>
      <c r="AQ607" t="s">
        <v>74</v>
      </c>
      <c r="AR607" t="s">
        <v>1472</v>
      </c>
      <c r="AS607" t="s">
        <v>1473</v>
      </c>
      <c r="AT607" t="s">
        <v>7021</v>
      </c>
      <c r="AU607">
        <v>1997</v>
      </c>
      <c r="AV607">
        <v>18</v>
      </c>
      <c r="AW607">
        <v>6</v>
      </c>
      <c r="AX607" t="s">
        <v>74</v>
      </c>
      <c r="AY607" t="s">
        <v>74</v>
      </c>
      <c r="AZ607" t="s">
        <v>74</v>
      </c>
      <c r="BA607" t="s">
        <v>74</v>
      </c>
      <c r="BB607">
        <v>799</v>
      </c>
      <c r="BC607">
        <v>821</v>
      </c>
      <c r="BD607" t="s">
        <v>74</v>
      </c>
      <c r="BE607" t="s">
        <v>7402</v>
      </c>
      <c r="BF607" t="str">
        <f>HYPERLINK("http://dx.doi.org/10.1006/cres.1997.0088","http://dx.doi.org/10.1006/cres.1997.0088")</f>
        <v>http://dx.doi.org/10.1006/cres.1997.0088</v>
      </c>
      <c r="BG607" t="s">
        <v>74</v>
      </c>
      <c r="BH607" t="s">
        <v>74</v>
      </c>
      <c r="BI607">
        <v>23</v>
      </c>
      <c r="BJ607" t="s">
        <v>1475</v>
      </c>
      <c r="BK607" t="s">
        <v>98</v>
      </c>
      <c r="BL607" t="s">
        <v>1475</v>
      </c>
      <c r="BM607" t="s">
        <v>7403</v>
      </c>
      <c r="BN607" t="s">
        <v>74</v>
      </c>
      <c r="BO607" t="s">
        <v>74</v>
      </c>
      <c r="BP607" t="s">
        <v>74</v>
      </c>
      <c r="BQ607" t="s">
        <v>74</v>
      </c>
      <c r="BR607" t="s">
        <v>101</v>
      </c>
      <c r="BS607" t="s">
        <v>7404</v>
      </c>
      <c r="BT607" t="str">
        <f>HYPERLINK("https%3A%2F%2Fwww.webofscience.com%2Fwos%2Fwoscc%2Ffull-record%2FWOS:000071645000004","View Full Record in Web of Science")</f>
        <v>View Full Record in Web of Science</v>
      </c>
    </row>
    <row r="608" spans="1:72" x14ac:dyDescent="0.15">
      <c r="A608" t="s">
        <v>72</v>
      </c>
      <c r="B608" t="s">
        <v>7405</v>
      </c>
      <c r="C608" t="s">
        <v>74</v>
      </c>
      <c r="D608" t="s">
        <v>74</v>
      </c>
      <c r="E608" t="s">
        <v>74</v>
      </c>
      <c r="F608" t="s">
        <v>7405</v>
      </c>
      <c r="G608" t="s">
        <v>74</v>
      </c>
      <c r="H608" t="s">
        <v>74</v>
      </c>
      <c r="I608" t="s">
        <v>7406</v>
      </c>
      <c r="J608" t="s">
        <v>7407</v>
      </c>
      <c r="K608" t="s">
        <v>74</v>
      </c>
      <c r="L608" t="s">
        <v>74</v>
      </c>
      <c r="M608" t="s">
        <v>77</v>
      </c>
      <c r="N608" t="s">
        <v>78</v>
      </c>
      <c r="O608" t="s">
        <v>74</v>
      </c>
      <c r="P608" t="s">
        <v>74</v>
      </c>
      <c r="Q608" t="s">
        <v>74</v>
      </c>
      <c r="R608" t="s">
        <v>74</v>
      </c>
      <c r="S608" t="s">
        <v>74</v>
      </c>
      <c r="T608" t="s">
        <v>7408</v>
      </c>
      <c r="U608" t="s">
        <v>7409</v>
      </c>
      <c r="V608" t="s">
        <v>7410</v>
      </c>
      <c r="W608" t="s">
        <v>7411</v>
      </c>
      <c r="X608" t="s">
        <v>322</v>
      </c>
      <c r="Y608" t="s">
        <v>7412</v>
      </c>
      <c r="Z608" t="s">
        <v>74</v>
      </c>
      <c r="AA608" t="s">
        <v>74</v>
      </c>
      <c r="AB608" t="s">
        <v>74</v>
      </c>
      <c r="AC608" t="s">
        <v>74</v>
      </c>
      <c r="AD608" t="s">
        <v>74</v>
      </c>
      <c r="AE608" t="s">
        <v>74</v>
      </c>
      <c r="AF608" t="s">
        <v>74</v>
      </c>
      <c r="AG608">
        <v>25</v>
      </c>
      <c r="AH608">
        <v>22</v>
      </c>
      <c r="AI608">
        <v>22</v>
      </c>
      <c r="AJ608">
        <v>0</v>
      </c>
      <c r="AK608">
        <v>9</v>
      </c>
      <c r="AL608" t="s">
        <v>7413</v>
      </c>
      <c r="AM608" t="s">
        <v>7414</v>
      </c>
      <c r="AN608" t="s">
        <v>7415</v>
      </c>
      <c r="AO608" t="s">
        <v>7416</v>
      </c>
      <c r="AP608" t="s">
        <v>74</v>
      </c>
      <c r="AQ608" t="s">
        <v>74</v>
      </c>
      <c r="AR608" t="s">
        <v>7407</v>
      </c>
      <c r="AS608" t="s">
        <v>7417</v>
      </c>
      <c r="AT608" t="s">
        <v>7021</v>
      </c>
      <c r="AU608">
        <v>1997</v>
      </c>
      <c r="AV608">
        <v>35</v>
      </c>
      <c r="AW608">
        <v>4</v>
      </c>
      <c r="AX608" t="s">
        <v>74</v>
      </c>
      <c r="AY608" t="s">
        <v>74</v>
      </c>
      <c r="AZ608" t="s">
        <v>74</v>
      </c>
      <c r="BA608" t="s">
        <v>74</v>
      </c>
      <c r="BB608">
        <v>309</v>
      </c>
      <c r="BC608">
        <v>317</v>
      </c>
      <c r="BD608" t="s">
        <v>74</v>
      </c>
      <c r="BE608" t="s">
        <v>7418</v>
      </c>
      <c r="BF608" t="str">
        <f>HYPERLINK("http://dx.doi.org/10.1006/cryo.1997.2046","http://dx.doi.org/10.1006/cryo.1997.2046")</f>
        <v>http://dx.doi.org/10.1006/cryo.1997.2046</v>
      </c>
      <c r="BG608" t="s">
        <v>74</v>
      </c>
      <c r="BH608" t="s">
        <v>74</v>
      </c>
      <c r="BI608">
        <v>9</v>
      </c>
      <c r="BJ608" t="s">
        <v>7419</v>
      </c>
      <c r="BK608" t="s">
        <v>98</v>
      </c>
      <c r="BL608" t="s">
        <v>7420</v>
      </c>
      <c r="BM608" t="s">
        <v>7421</v>
      </c>
      <c r="BN608">
        <v>9441661</v>
      </c>
      <c r="BO608" t="s">
        <v>74</v>
      </c>
      <c r="BP608" t="s">
        <v>74</v>
      </c>
      <c r="BQ608" t="s">
        <v>74</v>
      </c>
      <c r="BR608" t="s">
        <v>101</v>
      </c>
      <c r="BS608" t="s">
        <v>7422</v>
      </c>
      <c r="BT608" t="str">
        <f>HYPERLINK("https%3A%2F%2Fwww.webofscience.com%2Fwos%2Fwoscc%2Ffull-record%2FWOS:000071094600002","View Full Record in Web of Science")</f>
        <v>View Full Record in Web of Science</v>
      </c>
    </row>
    <row r="609" spans="1:72" x14ac:dyDescent="0.15">
      <c r="A609" t="s">
        <v>72</v>
      </c>
      <c r="B609" t="s">
        <v>7423</v>
      </c>
      <c r="C609" t="s">
        <v>74</v>
      </c>
      <c r="D609" t="s">
        <v>74</v>
      </c>
      <c r="E609" t="s">
        <v>74</v>
      </c>
      <c r="F609" t="s">
        <v>7423</v>
      </c>
      <c r="G609" t="s">
        <v>74</v>
      </c>
      <c r="H609" t="s">
        <v>74</v>
      </c>
      <c r="I609" t="s">
        <v>7424</v>
      </c>
      <c r="J609" t="s">
        <v>7425</v>
      </c>
      <c r="K609" t="s">
        <v>74</v>
      </c>
      <c r="L609" t="s">
        <v>74</v>
      </c>
      <c r="M609" t="s">
        <v>77</v>
      </c>
      <c r="N609" t="s">
        <v>78</v>
      </c>
      <c r="O609" t="s">
        <v>74</v>
      </c>
      <c r="P609" t="s">
        <v>74</v>
      </c>
      <c r="Q609" t="s">
        <v>74</v>
      </c>
      <c r="R609" t="s">
        <v>74</v>
      </c>
      <c r="S609" t="s">
        <v>74</v>
      </c>
      <c r="T609" t="s">
        <v>74</v>
      </c>
      <c r="U609" t="s">
        <v>7426</v>
      </c>
      <c r="V609" t="s">
        <v>7427</v>
      </c>
      <c r="W609" t="s">
        <v>7428</v>
      </c>
      <c r="X609" t="s">
        <v>322</v>
      </c>
      <c r="Y609" t="s">
        <v>7429</v>
      </c>
      <c r="Z609" t="s">
        <v>74</v>
      </c>
      <c r="AA609" t="s">
        <v>74</v>
      </c>
      <c r="AB609" t="s">
        <v>74</v>
      </c>
      <c r="AC609" t="s">
        <v>74</v>
      </c>
      <c r="AD609" t="s">
        <v>74</v>
      </c>
      <c r="AE609" t="s">
        <v>74</v>
      </c>
      <c r="AF609" t="s">
        <v>74</v>
      </c>
      <c r="AG609">
        <v>57</v>
      </c>
      <c r="AH609">
        <v>88</v>
      </c>
      <c r="AI609">
        <v>101</v>
      </c>
      <c r="AJ609">
        <v>1</v>
      </c>
      <c r="AK609">
        <v>40</v>
      </c>
      <c r="AL609" t="s">
        <v>1939</v>
      </c>
      <c r="AM609" t="s">
        <v>1940</v>
      </c>
      <c r="AN609" t="s">
        <v>1941</v>
      </c>
      <c r="AO609" t="s">
        <v>7430</v>
      </c>
      <c r="AP609" t="s">
        <v>74</v>
      </c>
      <c r="AQ609" t="s">
        <v>74</v>
      </c>
      <c r="AR609" t="s">
        <v>7425</v>
      </c>
      <c r="AS609" t="s">
        <v>7431</v>
      </c>
      <c r="AT609" t="s">
        <v>7021</v>
      </c>
      <c r="AU609">
        <v>1997</v>
      </c>
      <c r="AV609">
        <v>20</v>
      </c>
      <c r="AW609">
        <v>6</v>
      </c>
      <c r="AX609" t="s">
        <v>74</v>
      </c>
      <c r="AY609" t="s">
        <v>74</v>
      </c>
      <c r="AZ609" t="s">
        <v>74</v>
      </c>
      <c r="BA609" t="s">
        <v>74</v>
      </c>
      <c r="BB609">
        <v>585</v>
      </c>
      <c r="BC609">
        <v>594</v>
      </c>
      <c r="BD609" t="s">
        <v>74</v>
      </c>
      <c r="BE609" t="s">
        <v>7432</v>
      </c>
      <c r="BF609" t="str">
        <f>HYPERLINK("http://dx.doi.org/10.1111/j.1600-0587.1997.tb00427.x","http://dx.doi.org/10.1111/j.1600-0587.1997.tb00427.x")</f>
        <v>http://dx.doi.org/10.1111/j.1600-0587.1997.tb00427.x</v>
      </c>
      <c r="BG609" t="s">
        <v>74</v>
      </c>
      <c r="BH609" t="s">
        <v>74</v>
      </c>
      <c r="BI609">
        <v>10</v>
      </c>
      <c r="BJ609" t="s">
        <v>903</v>
      </c>
      <c r="BK609" t="s">
        <v>98</v>
      </c>
      <c r="BL609" t="s">
        <v>904</v>
      </c>
      <c r="BM609" t="s">
        <v>7433</v>
      </c>
      <c r="BN609" t="s">
        <v>74</v>
      </c>
      <c r="BO609" t="s">
        <v>74</v>
      </c>
      <c r="BP609" t="s">
        <v>74</v>
      </c>
      <c r="BQ609" t="s">
        <v>74</v>
      </c>
      <c r="BR609" t="s">
        <v>101</v>
      </c>
      <c r="BS609" t="s">
        <v>7434</v>
      </c>
      <c r="BT609" t="str">
        <f>HYPERLINK("https%3A%2F%2Fwww.webofscience.com%2Fwos%2Fwoscc%2Ffull-record%2FWOS:000071524800007","View Full Record in Web of Science")</f>
        <v>View Full Record in Web of Science</v>
      </c>
    </row>
    <row r="610" spans="1:72" x14ac:dyDescent="0.15">
      <c r="A610" t="s">
        <v>72</v>
      </c>
      <c r="B610" t="s">
        <v>7435</v>
      </c>
      <c r="C610" t="s">
        <v>74</v>
      </c>
      <c r="D610" t="s">
        <v>74</v>
      </c>
      <c r="E610" t="s">
        <v>74</v>
      </c>
      <c r="F610" t="s">
        <v>7435</v>
      </c>
      <c r="G610" t="s">
        <v>74</v>
      </c>
      <c r="H610" t="s">
        <v>74</v>
      </c>
      <c r="I610" t="s">
        <v>7436</v>
      </c>
      <c r="J610" t="s">
        <v>444</v>
      </c>
      <c r="K610" t="s">
        <v>74</v>
      </c>
      <c r="L610" t="s">
        <v>74</v>
      </c>
      <c r="M610" t="s">
        <v>77</v>
      </c>
      <c r="N610" t="s">
        <v>78</v>
      </c>
      <c r="O610" t="s">
        <v>74</v>
      </c>
      <c r="P610" t="s">
        <v>74</v>
      </c>
      <c r="Q610" t="s">
        <v>74</v>
      </c>
      <c r="R610" t="s">
        <v>74</v>
      </c>
      <c r="S610" t="s">
        <v>74</v>
      </c>
      <c r="T610" t="s">
        <v>74</v>
      </c>
      <c r="U610" t="s">
        <v>7437</v>
      </c>
      <c r="V610" t="s">
        <v>7438</v>
      </c>
      <c r="W610" t="s">
        <v>7439</v>
      </c>
      <c r="X610" t="s">
        <v>5578</v>
      </c>
      <c r="Y610" t="s">
        <v>7440</v>
      </c>
      <c r="Z610" t="s">
        <v>74</v>
      </c>
      <c r="AA610" t="s">
        <v>74</v>
      </c>
      <c r="AB610" t="s">
        <v>74</v>
      </c>
      <c r="AC610" t="s">
        <v>74</v>
      </c>
      <c r="AD610" t="s">
        <v>74</v>
      </c>
      <c r="AE610" t="s">
        <v>74</v>
      </c>
      <c r="AF610" t="s">
        <v>74</v>
      </c>
      <c r="AG610">
        <v>41</v>
      </c>
      <c r="AH610">
        <v>273</v>
      </c>
      <c r="AI610">
        <v>293</v>
      </c>
      <c r="AJ610">
        <v>2</v>
      </c>
      <c r="AK610">
        <v>76</v>
      </c>
      <c r="AL610" t="s">
        <v>451</v>
      </c>
      <c r="AM610" t="s">
        <v>214</v>
      </c>
      <c r="AN610" t="s">
        <v>452</v>
      </c>
      <c r="AO610" t="s">
        <v>453</v>
      </c>
      <c r="AP610" t="s">
        <v>74</v>
      </c>
      <c r="AQ610" t="s">
        <v>74</v>
      </c>
      <c r="AR610" t="s">
        <v>454</v>
      </c>
      <c r="AS610" t="s">
        <v>455</v>
      </c>
      <c r="AT610" t="s">
        <v>7021</v>
      </c>
      <c r="AU610">
        <v>1997</v>
      </c>
      <c r="AV610">
        <v>61</v>
      </c>
      <c r="AW610">
        <v>23</v>
      </c>
      <c r="AX610" t="s">
        <v>74</v>
      </c>
      <c r="AY610" t="s">
        <v>74</v>
      </c>
      <c r="AZ610" t="s">
        <v>74</v>
      </c>
      <c r="BA610" t="s">
        <v>74</v>
      </c>
      <c r="BB610">
        <v>5051</v>
      </c>
      <c r="BC610">
        <v>5056</v>
      </c>
      <c r="BD610" t="s">
        <v>74</v>
      </c>
      <c r="BE610" t="s">
        <v>7441</v>
      </c>
      <c r="BF610" t="str">
        <f>HYPERLINK("http://dx.doi.org/10.1016/S0016-7037(97)00300-1","http://dx.doi.org/10.1016/S0016-7037(97)00300-1")</f>
        <v>http://dx.doi.org/10.1016/S0016-7037(97)00300-1</v>
      </c>
      <c r="BG610" t="s">
        <v>74</v>
      </c>
      <c r="BH610" t="s">
        <v>74</v>
      </c>
      <c r="BI610">
        <v>6</v>
      </c>
      <c r="BJ610" t="s">
        <v>143</v>
      </c>
      <c r="BK610" t="s">
        <v>98</v>
      </c>
      <c r="BL610" t="s">
        <v>143</v>
      </c>
      <c r="BM610" t="s">
        <v>7442</v>
      </c>
      <c r="BN610" t="s">
        <v>74</v>
      </c>
      <c r="BO610" t="s">
        <v>74</v>
      </c>
      <c r="BP610" t="s">
        <v>74</v>
      </c>
      <c r="BQ610" t="s">
        <v>74</v>
      </c>
      <c r="BR610" t="s">
        <v>101</v>
      </c>
      <c r="BS610" t="s">
        <v>7443</v>
      </c>
      <c r="BT610" t="str">
        <f>HYPERLINK("https%3A%2F%2Fwww.webofscience.com%2Fwos%2Fwoscc%2Ffull-record%2FWOS:000071093400011","View Full Record in Web of Science")</f>
        <v>View Full Record in Web of Science</v>
      </c>
    </row>
    <row r="611" spans="1:72" x14ac:dyDescent="0.15">
      <c r="A611" t="s">
        <v>72</v>
      </c>
      <c r="B611" t="s">
        <v>7444</v>
      </c>
      <c r="C611" t="s">
        <v>74</v>
      </c>
      <c r="D611" t="s">
        <v>74</v>
      </c>
      <c r="E611" t="s">
        <v>74</v>
      </c>
      <c r="F611" t="s">
        <v>7444</v>
      </c>
      <c r="G611" t="s">
        <v>74</v>
      </c>
      <c r="H611" t="s">
        <v>74</v>
      </c>
      <c r="I611" t="s">
        <v>7445</v>
      </c>
      <c r="J611" t="s">
        <v>444</v>
      </c>
      <c r="K611" t="s">
        <v>74</v>
      </c>
      <c r="L611" t="s">
        <v>74</v>
      </c>
      <c r="M611" t="s">
        <v>77</v>
      </c>
      <c r="N611" t="s">
        <v>78</v>
      </c>
      <c r="O611" t="s">
        <v>74</v>
      </c>
      <c r="P611" t="s">
        <v>74</v>
      </c>
      <c r="Q611" t="s">
        <v>74</v>
      </c>
      <c r="R611" t="s">
        <v>74</v>
      </c>
      <c r="S611" t="s">
        <v>74</v>
      </c>
      <c r="T611" t="s">
        <v>74</v>
      </c>
      <c r="U611" t="s">
        <v>7446</v>
      </c>
      <c r="V611" t="s">
        <v>7447</v>
      </c>
      <c r="W611" t="s">
        <v>7448</v>
      </c>
      <c r="X611" t="s">
        <v>7449</v>
      </c>
      <c r="Y611" t="s">
        <v>7450</v>
      </c>
      <c r="Z611" t="s">
        <v>74</v>
      </c>
      <c r="AA611" t="s">
        <v>74</v>
      </c>
      <c r="AB611" t="s">
        <v>7451</v>
      </c>
      <c r="AC611" t="s">
        <v>74</v>
      </c>
      <c r="AD611" t="s">
        <v>74</v>
      </c>
      <c r="AE611" t="s">
        <v>74</v>
      </c>
      <c r="AF611" t="s">
        <v>74</v>
      </c>
      <c r="AG611">
        <v>53</v>
      </c>
      <c r="AH611">
        <v>107</v>
      </c>
      <c r="AI611">
        <v>111</v>
      </c>
      <c r="AJ611">
        <v>0</v>
      </c>
      <c r="AK611">
        <v>9</v>
      </c>
      <c r="AL611" t="s">
        <v>451</v>
      </c>
      <c r="AM611" t="s">
        <v>214</v>
      </c>
      <c r="AN611" t="s">
        <v>452</v>
      </c>
      <c r="AO611" t="s">
        <v>453</v>
      </c>
      <c r="AP611" t="s">
        <v>74</v>
      </c>
      <c r="AQ611" t="s">
        <v>74</v>
      </c>
      <c r="AR611" t="s">
        <v>454</v>
      </c>
      <c r="AS611" t="s">
        <v>455</v>
      </c>
      <c r="AT611" t="s">
        <v>7021</v>
      </c>
      <c r="AU611">
        <v>1997</v>
      </c>
      <c r="AV611">
        <v>61</v>
      </c>
      <c r="AW611">
        <v>23</v>
      </c>
      <c r="AX611" t="s">
        <v>74</v>
      </c>
      <c r="AY611" t="s">
        <v>74</v>
      </c>
      <c r="AZ611" t="s">
        <v>74</v>
      </c>
      <c r="BA611" t="s">
        <v>74</v>
      </c>
      <c r="BB611">
        <v>5149</v>
      </c>
      <c r="BC611">
        <v>5162</v>
      </c>
      <c r="BD611" t="s">
        <v>74</v>
      </c>
      <c r="BE611" t="s">
        <v>7452</v>
      </c>
      <c r="BF611" t="str">
        <f>HYPERLINK("http://dx.doi.org/10.1016/S0016-7037(97)00308-6","http://dx.doi.org/10.1016/S0016-7037(97)00308-6")</f>
        <v>http://dx.doi.org/10.1016/S0016-7037(97)00308-6</v>
      </c>
      <c r="BG611" t="s">
        <v>74</v>
      </c>
      <c r="BH611" t="s">
        <v>74</v>
      </c>
      <c r="BI611">
        <v>14</v>
      </c>
      <c r="BJ611" t="s">
        <v>143</v>
      </c>
      <c r="BK611" t="s">
        <v>98</v>
      </c>
      <c r="BL611" t="s">
        <v>143</v>
      </c>
      <c r="BM611" t="s">
        <v>7442</v>
      </c>
      <c r="BN611" t="s">
        <v>74</v>
      </c>
      <c r="BO611" t="s">
        <v>74</v>
      </c>
      <c r="BP611" t="s">
        <v>74</v>
      </c>
      <c r="BQ611" t="s">
        <v>74</v>
      </c>
      <c r="BR611" t="s">
        <v>101</v>
      </c>
      <c r="BS611" t="s">
        <v>7453</v>
      </c>
      <c r="BT611" t="str">
        <f>HYPERLINK("https%3A%2F%2Fwww.webofscience.com%2Fwos%2Fwoscc%2Ffull-record%2FWOS:000071093400017","View Full Record in Web of Science")</f>
        <v>View Full Record in Web of Science</v>
      </c>
    </row>
    <row r="612" spans="1:72" x14ac:dyDescent="0.15">
      <c r="A612" t="s">
        <v>72</v>
      </c>
      <c r="B612" t="s">
        <v>7454</v>
      </c>
      <c r="C612" t="s">
        <v>74</v>
      </c>
      <c r="D612" t="s">
        <v>74</v>
      </c>
      <c r="E612" t="s">
        <v>74</v>
      </c>
      <c r="F612" t="s">
        <v>7454</v>
      </c>
      <c r="G612" t="s">
        <v>74</v>
      </c>
      <c r="H612" t="s">
        <v>74</v>
      </c>
      <c r="I612" t="s">
        <v>7455</v>
      </c>
      <c r="J612" t="s">
        <v>7456</v>
      </c>
      <c r="K612" t="s">
        <v>74</v>
      </c>
      <c r="L612" t="s">
        <v>74</v>
      </c>
      <c r="M612" t="s">
        <v>77</v>
      </c>
      <c r="N612" t="s">
        <v>78</v>
      </c>
      <c r="O612" t="s">
        <v>74</v>
      </c>
      <c r="P612" t="s">
        <v>74</v>
      </c>
      <c r="Q612" t="s">
        <v>74</v>
      </c>
      <c r="R612" t="s">
        <v>74</v>
      </c>
      <c r="S612" t="s">
        <v>74</v>
      </c>
      <c r="T612" t="s">
        <v>7457</v>
      </c>
      <c r="U612" t="s">
        <v>7458</v>
      </c>
      <c r="V612" t="s">
        <v>7459</v>
      </c>
      <c r="W612" t="s">
        <v>7460</v>
      </c>
      <c r="X612" t="s">
        <v>7461</v>
      </c>
      <c r="Y612" t="s">
        <v>7462</v>
      </c>
      <c r="Z612" t="s">
        <v>74</v>
      </c>
      <c r="AA612" t="s">
        <v>7463</v>
      </c>
      <c r="AB612" t="s">
        <v>7464</v>
      </c>
      <c r="AC612" t="s">
        <v>74</v>
      </c>
      <c r="AD612" t="s">
        <v>74</v>
      </c>
      <c r="AE612" t="s">
        <v>74</v>
      </c>
      <c r="AF612" t="s">
        <v>74</v>
      </c>
      <c r="AG612">
        <v>33</v>
      </c>
      <c r="AH612">
        <v>580</v>
      </c>
      <c r="AI612">
        <v>657</v>
      </c>
      <c r="AJ612">
        <v>9</v>
      </c>
      <c r="AK612">
        <v>276</v>
      </c>
      <c r="AL612" t="s">
        <v>213</v>
      </c>
      <c r="AM612" t="s">
        <v>214</v>
      </c>
      <c r="AN612" t="s">
        <v>215</v>
      </c>
      <c r="AO612" t="s">
        <v>7465</v>
      </c>
      <c r="AP612" t="s">
        <v>74</v>
      </c>
      <c r="AQ612" t="s">
        <v>74</v>
      </c>
      <c r="AR612" t="s">
        <v>7466</v>
      </c>
      <c r="AS612" t="s">
        <v>7467</v>
      </c>
      <c r="AT612" t="s">
        <v>7021</v>
      </c>
      <c r="AU612">
        <v>1997</v>
      </c>
      <c r="AV612">
        <v>3</v>
      </c>
      <c r="AW612" t="s">
        <v>74</v>
      </c>
      <c r="AX612" t="s">
        <v>74</v>
      </c>
      <c r="AY612">
        <v>1</v>
      </c>
      <c r="AZ612" t="s">
        <v>74</v>
      </c>
      <c r="BA612" t="s">
        <v>74</v>
      </c>
      <c r="BB612">
        <v>20</v>
      </c>
      <c r="BC612">
        <v>32</v>
      </c>
      <c r="BD612" t="s">
        <v>74</v>
      </c>
      <c r="BE612" t="s">
        <v>7468</v>
      </c>
      <c r="BF612" t="str">
        <f>HYPERLINK("http://dx.doi.org/10.1111/j.1365-2486.1997.gcb136.x","http://dx.doi.org/10.1111/j.1365-2486.1997.gcb136.x")</f>
        <v>http://dx.doi.org/10.1111/j.1365-2486.1997.gcb136.x</v>
      </c>
      <c r="BG612" t="s">
        <v>74</v>
      </c>
      <c r="BH612" t="s">
        <v>74</v>
      </c>
      <c r="BI612">
        <v>13</v>
      </c>
      <c r="BJ612" t="s">
        <v>1369</v>
      </c>
      <c r="BK612" t="s">
        <v>98</v>
      </c>
      <c r="BL612" t="s">
        <v>904</v>
      </c>
      <c r="BM612" t="s">
        <v>7469</v>
      </c>
      <c r="BN612" t="s">
        <v>74</v>
      </c>
      <c r="BO612" t="s">
        <v>74</v>
      </c>
      <c r="BP612" t="s">
        <v>74</v>
      </c>
      <c r="BQ612" t="s">
        <v>74</v>
      </c>
      <c r="BR612" t="s">
        <v>101</v>
      </c>
      <c r="BS612" t="s">
        <v>7470</v>
      </c>
      <c r="BT612" t="str">
        <f>HYPERLINK("https%3A%2F%2Fwww.webofscience.com%2Fwos%2Fwoscc%2Ffull-record%2FWOS:000071285300003","View Full Record in Web of Science")</f>
        <v>View Full Record in Web of Science</v>
      </c>
    </row>
    <row r="613" spans="1:72" x14ac:dyDescent="0.15">
      <c r="A613" t="s">
        <v>72</v>
      </c>
      <c r="B613" t="s">
        <v>7471</v>
      </c>
      <c r="C613" t="s">
        <v>74</v>
      </c>
      <c r="D613" t="s">
        <v>74</v>
      </c>
      <c r="E613" t="s">
        <v>74</v>
      </c>
      <c r="F613" t="s">
        <v>7471</v>
      </c>
      <c r="G613" t="s">
        <v>74</v>
      </c>
      <c r="H613" t="s">
        <v>74</v>
      </c>
      <c r="I613" t="s">
        <v>7472</v>
      </c>
      <c r="J613" t="s">
        <v>7473</v>
      </c>
      <c r="K613" t="s">
        <v>74</v>
      </c>
      <c r="L613" t="s">
        <v>74</v>
      </c>
      <c r="M613" t="s">
        <v>77</v>
      </c>
      <c r="N613" t="s">
        <v>78</v>
      </c>
      <c r="O613" t="s">
        <v>74</v>
      </c>
      <c r="P613" t="s">
        <v>74</v>
      </c>
      <c r="Q613" t="s">
        <v>74</v>
      </c>
      <c r="R613" t="s">
        <v>74</v>
      </c>
      <c r="S613" t="s">
        <v>74</v>
      </c>
      <c r="T613" t="s">
        <v>7474</v>
      </c>
      <c r="U613" t="s">
        <v>7475</v>
      </c>
      <c r="V613" t="s">
        <v>7476</v>
      </c>
      <c r="W613" t="s">
        <v>7477</v>
      </c>
      <c r="X613" t="s">
        <v>6701</v>
      </c>
      <c r="Y613" t="s">
        <v>7478</v>
      </c>
      <c r="Z613" t="s">
        <v>74</v>
      </c>
      <c r="AA613" t="s">
        <v>74</v>
      </c>
      <c r="AB613" t="s">
        <v>74</v>
      </c>
      <c r="AC613" t="s">
        <v>74</v>
      </c>
      <c r="AD613" t="s">
        <v>74</v>
      </c>
      <c r="AE613" t="s">
        <v>74</v>
      </c>
      <c r="AF613" t="s">
        <v>74</v>
      </c>
      <c r="AG613">
        <v>43</v>
      </c>
      <c r="AH613">
        <v>72</v>
      </c>
      <c r="AI613">
        <v>77</v>
      </c>
      <c r="AJ613">
        <v>0</v>
      </c>
      <c r="AK613">
        <v>4</v>
      </c>
      <c r="AL613" t="s">
        <v>7413</v>
      </c>
      <c r="AM613" t="s">
        <v>7414</v>
      </c>
      <c r="AN613" t="s">
        <v>7415</v>
      </c>
      <c r="AO613" t="s">
        <v>7479</v>
      </c>
      <c r="AP613" t="s">
        <v>74</v>
      </c>
      <c r="AQ613" t="s">
        <v>74</v>
      </c>
      <c r="AR613" t="s">
        <v>7473</v>
      </c>
      <c r="AS613" t="s">
        <v>7480</v>
      </c>
      <c r="AT613" t="s">
        <v>7021</v>
      </c>
      <c r="AU613">
        <v>1997</v>
      </c>
      <c r="AV613">
        <v>130</v>
      </c>
      <c r="AW613">
        <v>2</v>
      </c>
      <c r="AX613" t="s">
        <v>74</v>
      </c>
      <c r="AY613" t="s">
        <v>74</v>
      </c>
      <c r="AZ613" t="s">
        <v>74</v>
      </c>
      <c r="BA613" t="s">
        <v>74</v>
      </c>
      <c r="BB613">
        <v>461</v>
      </c>
      <c r="BC613">
        <v>474</v>
      </c>
      <c r="BD613" t="s">
        <v>74</v>
      </c>
      <c r="BE613" t="s">
        <v>7481</v>
      </c>
      <c r="BF613" t="str">
        <f>HYPERLINK("http://dx.doi.org/10.1006/icar.1997.5817","http://dx.doi.org/10.1006/icar.1997.5817")</f>
        <v>http://dx.doi.org/10.1006/icar.1997.5817</v>
      </c>
      <c r="BG613" t="s">
        <v>74</v>
      </c>
      <c r="BH613" t="s">
        <v>74</v>
      </c>
      <c r="BI613">
        <v>14</v>
      </c>
      <c r="BJ613" t="s">
        <v>971</v>
      </c>
      <c r="BK613" t="s">
        <v>98</v>
      </c>
      <c r="BL613" t="s">
        <v>971</v>
      </c>
      <c r="BM613" t="s">
        <v>7482</v>
      </c>
      <c r="BN613" t="s">
        <v>74</v>
      </c>
      <c r="BO613" t="s">
        <v>74</v>
      </c>
      <c r="BP613" t="s">
        <v>74</v>
      </c>
      <c r="BQ613" t="s">
        <v>74</v>
      </c>
      <c r="BR613" t="s">
        <v>101</v>
      </c>
      <c r="BS613" t="s">
        <v>7483</v>
      </c>
      <c r="BT613" t="str">
        <f>HYPERLINK("https%3A%2F%2Fwww.webofscience.com%2Fwos%2Fwoscc%2Ffull-record%2FWOS:000072037700018","View Full Record in Web of Science")</f>
        <v>View Full Record in Web of Science</v>
      </c>
    </row>
    <row r="614" spans="1:72" x14ac:dyDescent="0.15">
      <c r="A614" t="s">
        <v>72</v>
      </c>
      <c r="B614" t="s">
        <v>7484</v>
      </c>
      <c r="C614" t="s">
        <v>74</v>
      </c>
      <c r="D614" t="s">
        <v>74</v>
      </c>
      <c r="E614" t="s">
        <v>74</v>
      </c>
      <c r="F614" t="s">
        <v>7484</v>
      </c>
      <c r="G614" t="s">
        <v>74</v>
      </c>
      <c r="H614" t="s">
        <v>74</v>
      </c>
      <c r="I614" t="s">
        <v>7485</v>
      </c>
      <c r="J614" t="s">
        <v>7486</v>
      </c>
      <c r="K614" t="s">
        <v>74</v>
      </c>
      <c r="L614" t="s">
        <v>74</v>
      </c>
      <c r="M614" t="s">
        <v>77</v>
      </c>
      <c r="N614" t="s">
        <v>78</v>
      </c>
      <c r="O614" t="s">
        <v>74</v>
      </c>
      <c r="P614" t="s">
        <v>74</v>
      </c>
      <c r="Q614" t="s">
        <v>74</v>
      </c>
      <c r="R614" t="s">
        <v>74</v>
      </c>
      <c r="S614" t="s">
        <v>74</v>
      </c>
      <c r="T614" t="s">
        <v>7487</v>
      </c>
      <c r="U614" t="s">
        <v>7488</v>
      </c>
      <c r="V614" t="s">
        <v>7489</v>
      </c>
      <c r="W614" t="s">
        <v>7490</v>
      </c>
      <c r="X614" t="s">
        <v>7491</v>
      </c>
      <c r="Y614" t="s">
        <v>7492</v>
      </c>
      <c r="Z614" t="s">
        <v>74</v>
      </c>
      <c r="AA614" t="s">
        <v>7493</v>
      </c>
      <c r="AB614" t="s">
        <v>7494</v>
      </c>
      <c r="AC614" t="s">
        <v>74</v>
      </c>
      <c r="AD614" t="s">
        <v>74</v>
      </c>
      <c r="AE614" t="s">
        <v>74</v>
      </c>
      <c r="AF614" t="s">
        <v>74</v>
      </c>
      <c r="AG614">
        <v>32</v>
      </c>
      <c r="AH614">
        <v>26</v>
      </c>
      <c r="AI614">
        <v>31</v>
      </c>
      <c r="AJ614">
        <v>0</v>
      </c>
      <c r="AK614">
        <v>4</v>
      </c>
      <c r="AL614" t="s">
        <v>4307</v>
      </c>
      <c r="AM614" t="s">
        <v>4308</v>
      </c>
      <c r="AN614" t="s">
        <v>4309</v>
      </c>
      <c r="AO614" t="s">
        <v>7495</v>
      </c>
      <c r="AP614" t="s">
        <v>74</v>
      </c>
      <c r="AQ614" t="s">
        <v>74</v>
      </c>
      <c r="AR614" t="s">
        <v>7496</v>
      </c>
      <c r="AS614" t="s">
        <v>7497</v>
      </c>
      <c r="AT614" t="s">
        <v>7021</v>
      </c>
      <c r="AU614">
        <v>1997</v>
      </c>
      <c r="AV614">
        <v>17</v>
      </c>
      <c r="AW614">
        <v>15</v>
      </c>
      <c r="AX614" t="s">
        <v>74</v>
      </c>
      <c r="AY614" t="s">
        <v>74</v>
      </c>
      <c r="AZ614" t="s">
        <v>74</v>
      </c>
      <c r="BA614" t="s">
        <v>74</v>
      </c>
      <c r="BB614">
        <v>1613</v>
      </c>
      <c r="BC614">
        <v>1633</v>
      </c>
      <c r="BD614" t="s">
        <v>74</v>
      </c>
      <c r="BE614" t="s">
        <v>7498</v>
      </c>
      <c r="BF614" t="str">
        <f>HYPERLINK("http://dx.doi.org/10.1002/(SICI)1097-0088(199712)17:15&lt;1613::AID-JOC209&gt;3.0.CO;2-8","http://dx.doi.org/10.1002/(SICI)1097-0088(199712)17:15&lt;1613::AID-JOC209&gt;3.0.CO;2-8")</f>
        <v>http://dx.doi.org/10.1002/(SICI)1097-0088(199712)17:15&lt;1613::AID-JOC209&gt;3.0.CO;2-8</v>
      </c>
      <c r="BG614" t="s">
        <v>74</v>
      </c>
      <c r="BH614" t="s">
        <v>74</v>
      </c>
      <c r="BI614">
        <v>21</v>
      </c>
      <c r="BJ614" t="s">
        <v>635</v>
      </c>
      <c r="BK614" t="s">
        <v>98</v>
      </c>
      <c r="BL614" t="s">
        <v>635</v>
      </c>
      <c r="BM614" t="s">
        <v>7499</v>
      </c>
      <c r="BN614" t="s">
        <v>74</v>
      </c>
      <c r="BO614" t="s">
        <v>74</v>
      </c>
      <c r="BP614" t="s">
        <v>74</v>
      </c>
      <c r="BQ614" t="s">
        <v>74</v>
      </c>
      <c r="BR614" t="s">
        <v>101</v>
      </c>
      <c r="BS614" t="s">
        <v>7500</v>
      </c>
      <c r="BT614" t="str">
        <f>HYPERLINK("https%3A%2F%2Fwww.webofscience.com%2Fwos%2Fwoscc%2Ffull-record%2FWOS:000071492600001","View Full Record in Web of Science")</f>
        <v>View Full Record in Web of Science</v>
      </c>
    </row>
    <row r="615" spans="1:72" x14ac:dyDescent="0.15">
      <c r="A615" t="s">
        <v>72</v>
      </c>
      <c r="B615" t="s">
        <v>7501</v>
      </c>
      <c r="C615" t="s">
        <v>74</v>
      </c>
      <c r="D615" t="s">
        <v>74</v>
      </c>
      <c r="E615" t="s">
        <v>74</v>
      </c>
      <c r="F615" t="s">
        <v>7501</v>
      </c>
      <c r="G615" t="s">
        <v>74</v>
      </c>
      <c r="H615" t="s">
        <v>74</v>
      </c>
      <c r="I615" t="s">
        <v>7502</v>
      </c>
      <c r="J615" t="s">
        <v>7503</v>
      </c>
      <c r="K615" t="s">
        <v>74</v>
      </c>
      <c r="L615" t="s">
        <v>74</v>
      </c>
      <c r="M615" t="s">
        <v>77</v>
      </c>
      <c r="N615" t="s">
        <v>494</v>
      </c>
      <c r="O615" t="s">
        <v>74</v>
      </c>
      <c r="P615" t="s">
        <v>74</v>
      </c>
      <c r="Q615" t="s">
        <v>74</v>
      </c>
      <c r="R615" t="s">
        <v>74</v>
      </c>
      <c r="S615" t="s">
        <v>74</v>
      </c>
      <c r="T615" t="s">
        <v>7504</v>
      </c>
      <c r="U615" t="s">
        <v>7505</v>
      </c>
      <c r="V615" t="s">
        <v>7506</v>
      </c>
      <c r="W615" t="s">
        <v>74</v>
      </c>
      <c r="X615" t="s">
        <v>74</v>
      </c>
      <c r="Y615" t="s">
        <v>7507</v>
      </c>
      <c r="Z615" t="s">
        <v>74</v>
      </c>
      <c r="AA615" t="s">
        <v>74</v>
      </c>
      <c r="AB615" t="s">
        <v>74</v>
      </c>
      <c r="AC615" t="s">
        <v>74</v>
      </c>
      <c r="AD615" t="s">
        <v>74</v>
      </c>
      <c r="AE615" t="s">
        <v>74</v>
      </c>
      <c r="AF615" t="s">
        <v>74</v>
      </c>
      <c r="AG615">
        <v>205</v>
      </c>
      <c r="AH615">
        <v>115</v>
      </c>
      <c r="AI615">
        <v>138</v>
      </c>
      <c r="AJ615">
        <v>3</v>
      </c>
      <c r="AK615">
        <v>69</v>
      </c>
      <c r="AL615" t="s">
        <v>1488</v>
      </c>
      <c r="AM615" t="s">
        <v>201</v>
      </c>
      <c r="AN615" t="s">
        <v>1470</v>
      </c>
      <c r="AO615" t="s">
        <v>7508</v>
      </c>
      <c r="AP615" t="s">
        <v>74</v>
      </c>
      <c r="AQ615" t="s">
        <v>74</v>
      </c>
      <c r="AR615" t="s">
        <v>7509</v>
      </c>
      <c r="AS615" t="s">
        <v>7510</v>
      </c>
      <c r="AT615" t="s">
        <v>7021</v>
      </c>
      <c r="AU615">
        <v>1997</v>
      </c>
      <c r="AV615">
        <v>37</v>
      </c>
      <c r="AW615">
        <v>4</v>
      </c>
      <c r="AX615" t="s">
        <v>74</v>
      </c>
      <c r="AY615" t="s">
        <v>74</v>
      </c>
      <c r="AZ615" t="s">
        <v>74</v>
      </c>
      <c r="BA615" t="s">
        <v>74</v>
      </c>
      <c r="BB615">
        <v>619</v>
      </c>
      <c r="BC615">
        <v>647</v>
      </c>
      <c r="BD615" t="s">
        <v>74</v>
      </c>
      <c r="BE615" t="s">
        <v>7511</v>
      </c>
      <c r="BF615" t="str">
        <f>HYPERLINK("http://dx.doi.org/10.1006/jare.1997.0315","http://dx.doi.org/10.1006/jare.1997.0315")</f>
        <v>http://dx.doi.org/10.1006/jare.1997.0315</v>
      </c>
      <c r="BG615" t="s">
        <v>74</v>
      </c>
      <c r="BH615" t="s">
        <v>74</v>
      </c>
      <c r="BI615">
        <v>29</v>
      </c>
      <c r="BJ615" t="s">
        <v>1544</v>
      </c>
      <c r="BK615" t="s">
        <v>98</v>
      </c>
      <c r="BL615" t="s">
        <v>1545</v>
      </c>
      <c r="BM615" t="s">
        <v>7512</v>
      </c>
      <c r="BN615" t="s">
        <v>74</v>
      </c>
      <c r="BO615" t="s">
        <v>74</v>
      </c>
      <c r="BP615" t="s">
        <v>74</v>
      </c>
      <c r="BQ615" t="s">
        <v>74</v>
      </c>
      <c r="BR615" t="s">
        <v>101</v>
      </c>
      <c r="BS615" t="s">
        <v>7513</v>
      </c>
      <c r="BT615" t="str">
        <f>HYPERLINK("https%3A%2F%2Fwww.webofscience.com%2Fwos%2Fwoscc%2Ffull-record%2FWOS:000071027900006","View Full Record in Web of Science")</f>
        <v>View Full Record in Web of Science</v>
      </c>
    </row>
    <row r="616" spans="1:72" x14ac:dyDescent="0.15">
      <c r="A616" t="s">
        <v>72</v>
      </c>
      <c r="B616" t="s">
        <v>7514</v>
      </c>
      <c r="C616" t="s">
        <v>74</v>
      </c>
      <c r="D616" t="s">
        <v>74</v>
      </c>
      <c r="E616" t="s">
        <v>74</v>
      </c>
      <c r="F616" t="s">
        <v>7514</v>
      </c>
      <c r="G616" t="s">
        <v>74</v>
      </c>
      <c r="H616" t="s">
        <v>74</v>
      </c>
      <c r="I616" t="s">
        <v>7515</v>
      </c>
      <c r="J616" t="s">
        <v>619</v>
      </c>
      <c r="K616" t="s">
        <v>74</v>
      </c>
      <c r="L616" t="s">
        <v>74</v>
      </c>
      <c r="M616" t="s">
        <v>77</v>
      </c>
      <c r="N616" t="s">
        <v>78</v>
      </c>
      <c r="O616" t="s">
        <v>74</v>
      </c>
      <c r="P616" t="s">
        <v>74</v>
      </c>
      <c r="Q616" t="s">
        <v>74</v>
      </c>
      <c r="R616" t="s">
        <v>74</v>
      </c>
      <c r="S616" t="s">
        <v>74</v>
      </c>
      <c r="T616" t="s">
        <v>74</v>
      </c>
      <c r="U616" t="s">
        <v>7516</v>
      </c>
      <c r="V616" t="s">
        <v>7517</v>
      </c>
      <c r="W616" t="s">
        <v>7518</v>
      </c>
      <c r="X616" t="s">
        <v>7519</v>
      </c>
      <c r="Y616" t="s">
        <v>7520</v>
      </c>
      <c r="Z616" t="s">
        <v>74</v>
      </c>
      <c r="AA616" t="s">
        <v>7521</v>
      </c>
      <c r="AB616" t="s">
        <v>7522</v>
      </c>
      <c r="AC616" t="s">
        <v>74</v>
      </c>
      <c r="AD616" t="s">
        <v>74</v>
      </c>
      <c r="AE616" t="s">
        <v>74</v>
      </c>
      <c r="AF616" t="s">
        <v>74</v>
      </c>
      <c r="AG616">
        <v>56</v>
      </c>
      <c r="AH616">
        <v>31</v>
      </c>
      <c r="AI616">
        <v>32</v>
      </c>
      <c r="AJ616">
        <v>1</v>
      </c>
      <c r="AK616">
        <v>8</v>
      </c>
      <c r="AL616" t="s">
        <v>627</v>
      </c>
      <c r="AM616" t="s">
        <v>628</v>
      </c>
      <c r="AN616" t="s">
        <v>629</v>
      </c>
      <c r="AO616" t="s">
        <v>630</v>
      </c>
      <c r="AP616" t="s">
        <v>74</v>
      </c>
      <c r="AQ616" t="s">
        <v>74</v>
      </c>
      <c r="AR616" t="s">
        <v>632</v>
      </c>
      <c r="AS616" t="s">
        <v>633</v>
      </c>
      <c r="AT616" t="s">
        <v>7021</v>
      </c>
      <c r="AU616">
        <v>1997</v>
      </c>
      <c r="AV616">
        <v>10</v>
      </c>
      <c r="AW616">
        <v>12</v>
      </c>
      <c r="AX616" t="s">
        <v>74</v>
      </c>
      <c r="AY616" t="s">
        <v>74</v>
      </c>
      <c r="AZ616" t="s">
        <v>74</v>
      </c>
      <c r="BA616" t="s">
        <v>74</v>
      </c>
      <c r="BB616">
        <v>3111</v>
      </c>
      <c r="BC616">
        <v>3130</v>
      </c>
      <c r="BD616" t="s">
        <v>74</v>
      </c>
      <c r="BE616" t="s">
        <v>7523</v>
      </c>
      <c r="BF616" t="str">
        <f>HYPERLINK("http://dx.doi.org/10.1175/1520-0442(1997)010&lt;3111:ROAKWI&gt;2.0.CO;2","http://dx.doi.org/10.1175/1520-0442(1997)010&lt;3111:ROAKWI&gt;2.0.CO;2")</f>
        <v>http://dx.doi.org/10.1175/1520-0442(1997)010&lt;3111:ROAKWI&gt;2.0.CO;2</v>
      </c>
      <c r="BG616" t="s">
        <v>74</v>
      </c>
      <c r="BH616" t="s">
        <v>74</v>
      </c>
      <c r="BI616">
        <v>20</v>
      </c>
      <c r="BJ616" t="s">
        <v>635</v>
      </c>
      <c r="BK616" t="s">
        <v>98</v>
      </c>
      <c r="BL616" t="s">
        <v>635</v>
      </c>
      <c r="BM616" t="s">
        <v>7524</v>
      </c>
      <c r="BN616" t="s">
        <v>74</v>
      </c>
      <c r="BO616" t="s">
        <v>100</v>
      </c>
      <c r="BP616" t="s">
        <v>74</v>
      </c>
      <c r="BQ616" t="s">
        <v>74</v>
      </c>
      <c r="BR616" t="s">
        <v>101</v>
      </c>
      <c r="BS616" t="s">
        <v>7525</v>
      </c>
      <c r="BT616" t="str">
        <f>HYPERLINK("https%3A%2F%2Fwww.webofscience.com%2Fwos%2Fwoscc%2Ffull-record%2FWOS:000071532800009","View Full Record in Web of Science")</f>
        <v>View Full Record in Web of Science</v>
      </c>
    </row>
    <row r="617" spans="1:72" x14ac:dyDescent="0.15">
      <c r="A617" t="s">
        <v>72</v>
      </c>
      <c r="B617" t="s">
        <v>7526</v>
      </c>
      <c r="C617" t="s">
        <v>74</v>
      </c>
      <c r="D617" t="s">
        <v>74</v>
      </c>
      <c r="E617" t="s">
        <v>74</v>
      </c>
      <c r="F617" t="s">
        <v>7526</v>
      </c>
      <c r="G617" t="s">
        <v>74</v>
      </c>
      <c r="H617" t="s">
        <v>74</v>
      </c>
      <c r="I617" t="s">
        <v>7527</v>
      </c>
      <c r="J617" t="s">
        <v>1658</v>
      </c>
      <c r="K617" t="s">
        <v>74</v>
      </c>
      <c r="L617" t="s">
        <v>74</v>
      </c>
      <c r="M617" t="s">
        <v>77</v>
      </c>
      <c r="N617" t="s">
        <v>78</v>
      </c>
      <c r="O617" t="s">
        <v>74</v>
      </c>
      <c r="P617" t="s">
        <v>74</v>
      </c>
      <c r="Q617" t="s">
        <v>74</v>
      </c>
      <c r="R617" t="s">
        <v>74</v>
      </c>
      <c r="S617" t="s">
        <v>74</v>
      </c>
      <c r="T617" t="s">
        <v>74</v>
      </c>
      <c r="U617" t="s">
        <v>7528</v>
      </c>
      <c r="V617" t="s">
        <v>7529</v>
      </c>
      <c r="W617" t="s">
        <v>7530</v>
      </c>
      <c r="X617" t="s">
        <v>7531</v>
      </c>
      <c r="Y617" t="s">
        <v>7532</v>
      </c>
      <c r="Z617" t="s">
        <v>74</v>
      </c>
      <c r="AA617" t="s">
        <v>74</v>
      </c>
      <c r="AB617" t="s">
        <v>5093</v>
      </c>
      <c r="AC617" t="s">
        <v>74</v>
      </c>
      <c r="AD617" t="s">
        <v>74</v>
      </c>
      <c r="AE617" t="s">
        <v>74</v>
      </c>
      <c r="AF617" t="s">
        <v>74</v>
      </c>
      <c r="AG617">
        <v>20</v>
      </c>
      <c r="AH617">
        <v>63</v>
      </c>
      <c r="AI617">
        <v>63</v>
      </c>
      <c r="AJ617">
        <v>0</v>
      </c>
      <c r="AK617">
        <v>0</v>
      </c>
      <c r="AL617" t="s">
        <v>87</v>
      </c>
      <c r="AM617" t="s">
        <v>88</v>
      </c>
      <c r="AN617" t="s">
        <v>7533</v>
      </c>
      <c r="AO617" t="s">
        <v>74</v>
      </c>
      <c r="AP617" t="s">
        <v>74</v>
      </c>
      <c r="AQ617" t="s">
        <v>74</v>
      </c>
      <c r="AR617" t="s">
        <v>1661</v>
      </c>
      <c r="AS617" t="s">
        <v>1662</v>
      </c>
      <c r="AT617" t="s">
        <v>7534</v>
      </c>
      <c r="AU617">
        <v>1997</v>
      </c>
      <c r="AV617">
        <v>102</v>
      </c>
      <c r="AW617" t="s">
        <v>7535</v>
      </c>
      <c r="AX617" t="s">
        <v>74</v>
      </c>
      <c r="AY617" t="s">
        <v>74</v>
      </c>
      <c r="AZ617" t="s">
        <v>74</v>
      </c>
      <c r="BA617" t="s">
        <v>74</v>
      </c>
      <c r="BB617">
        <v>26919</v>
      </c>
      <c r="BC617">
        <v>26926</v>
      </c>
      <c r="BD617" t="s">
        <v>74</v>
      </c>
      <c r="BE617" t="s">
        <v>7536</v>
      </c>
      <c r="BF617" t="str">
        <f>HYPERLINK("http://dx.doi.org/10.1029/97JA02366","http://dx.doi.org/10.1029/97JA02366")</f>
        <v>http://dx.doi.org/10.1029/97JA02366</v>
      </c>
      <c r="BG617" t="s">
        <v>74</v>
      </c>
      <c r="BH617" t="s">
        <v>74</v>
      </c>
      <c r="BI617">
        <v>8</v>
      </c>
      <c r="BJ617" t="s">
        <v>971</v>
      </c>
      <c r="BK617" t="s">
        <v>98</v>
      </c>
      <c r="BL617" t="s">
        <v>971</v>
      </c>
      <c r="BM617" t="s">
        <v>7537</v>
      </c>
      <c r="BN617" t="s">
        <v>74</v>
      </c>
      <c r="BO617" t="s">
        <v>74</v>
      </c>
      <c r="BP617" t="s">
        <v>74</v>
      </c>
      <c r="BQ617" t="s">
        <v>74</v>
      </c>
      <c r="BR617" t="s">
        <v>101</v>
      </c>
      <c r="BS617" t="s">
        <v>7538</v>
      </c>
      <c r="BT617" t="str">
        <f>HYPERLINK("https%3A%2F%2Fwww.webofscience.com%2Fwos%2Fwoscc%2Ffull-record%2FWOS:A1997YJ88800004","View Full Record in Web of Science")</f>
        <v>View Full Record in Web of Science</v>
      </c>
    </row>
    <row r="618" spans="1:72" x14ac:dyDescent="0.15">
      <c r="A618" t="s">
        <v>72</v>
      </c>
      <c r="B618" t="s">
        <v>7539</v>
      </c>
      <c r="C618" t="s">
        <v>74</v>
      </c>
      <c r="D618" t="s">
        <v>74</v>
      </c>
      <c r="E618" t="s">
        <v>74</v>
      </c>
      <c r="F618" t="s">
        <v>7539</v>
      </c>
      <c r="G618" t="s">
        <v>74</v>
      </c>
      <c r="H618" t="s">
        <v>74</v>
      </c>
      <c r="I618" t="s">
        <v>7540</v>
      </c>
      <c r="J618" t="s">
        <v>1658</v>
      </c>
      <c r="K618" t="s">
        <v>74</v>
      </c>
      <c r="L618" t="s">
        <v>74</v>
      </c>
      <c r="M618" t="s">
        <v>77</v>
      </c>
      <c r="N618" t="s">
        <v>78</v>
      </c>
      <c r="O618" t="s">
        <v>74</v>
      </c>
      <c r="P618" t="s">
        <v>74</v>
      </c>
      <c r="Q618" t="s">
        <v>74</v>
      </c>
      <c r="R618" t="s">
        <v>74</v>
      </c>
      <c r="S618" t="s">
        <v>74</v>
      </c>
      <c r="T618" t="s">
        <v>74</v>
      </c>
      <c r="U618" t="s">
        <v>7541</v>
      </c>
      <c r="V618" t="s">
        <v>7542</v>
      </c>
      <c r="W618" t="s">
        <v>7543</v>
      </c>
      <c r="X618" t="s">
        <v>7544</v>
      </c>
      <c r="Y618" t="s">
        <v>7545</v>
      </c>
      <c r="Z618" t="s">
        <v>74</v>
      </c>
      <c r="AA618" t="s">
        <v>7546</v>
      </c>
      <c r="AB618" t="s">
        <v>7547</v>
      </c>
      <c r="AC618" t="s">
        <v>74</v>
      </c>
      <c r="AD618" t="s">
        <v>74</v>
      </c>
      <c r="AE618" t="s">
        <v>74</v>
      </c>
      <c r="AF618" t="s">
        <v>74</v>
      </c>
      <c r="AG618">
        <v>29</v>
      </c>
      <c r="AH618">
        <v>29</v>
      </c>
      <c r="AI618">
        <v>32</v>
      </c>
      <c r="AJ618">
        <v>0</v>
      </c>
      <c r="AK618">
        <v>0</v>
      </c>
      <c r="AL618" t="s">
        <v>87</v>
      </c>
      <c r="AM618" t="s">
        <v>88</v>
      </c>
      <c r="AN618" t="s">
        <v>7533</v>
      </c>
      <c r="AO618" t="s">
        <v>74</v>
      </c>
      <c r="AP618" t="s">
        <v>74</v>
      </c>
      <c r="AQ618" t="s">
        <v>74</v>
      </c>
      <c r="AR618" t="s">
        <v>1661</v>
      </c>
      <c r="AS618" t="s">
        <v>1662</v>
      </c>
      <c r="AT618" t="s">
        <v>7534</v>
      </c>
      <c r="AU618">
        <v>1997</v>
      </c>
      <c r="AV618">
        <v>102</v>
      </c>
      <c r="AW618" t="s">
        <v>7535</v>
      </c>
      <c r="AX618" t="s">
        <v>74</v>
      </c>
      <c r="AY618" t="s">
        <v>74</v>
      </c>
      <c r="AZ618" t="s">
        <v>74</v>
      </c>
      <c r="BA618" t="s">
        <v>74</v>
      </c>
      <c r="BB618">
        <v>27011</v>
      </c>
      <c r="BC618">
        <v>27027</v>
      </c>
      <c r="BD618" t="s">
        <v>74</v>
      </c>
      <c r="BE618" t="s">
        <v>7548</v>
      </c>
      <c r="BF618" t="str">
        <f>HYPERLINK("http://dx.doi.org/10.1029/97JA02191","http://dx.doi.org/10.1029/97JA02191")</f>
        <v>http://dx.doi.org/10.1029/97JA02191</v>
      </c>
      <c r="BG618" t="s">
        <v>74</v>
      </c>
      <c r="BH618" t="s">
        <v>74</v>
      </c>
      <c r="BI618">
        <v>17</v>
      </c>
      <c r="BJ618" t="s">
        <v>971</v>
      </c>
      <c r="BK618" t="s">
        <v>98</v>
      </c>
      <c r="BL618" t="s">
        <v>971</v>
      </c>
      <c r="BM618" t="s">
        <v>7537</v>
      </c>
      <c r="BN618" t="s">
        <v>74</v>
      </c>
      <c r="BO618" t="s">
        <v>100</v>
      </c>
      <c r="BP618" t="s">
        <v>74</v>
      </c>
      <c r="BQ618" t="s">
        <v>74</v>
      </c>
      <c r="BR618" t="s">
        <v>101</v>
      </c>
      <c r="BS618" t="s">
        <v>7549</v>
      </c>
      <c r="BT618" t="str">
        <f>HYPERLINK("https%3A%2F%2Fwww.webofscience.com%2Fwos%2Fwoscc%2Ffull-record%2FWOS:A1997YJ88800010","View Full Record in Web of Science")</f>
        <v>View Full Record in Web of Science</v>
      </c>
    </row>
    <row r="619" spans="1:72" x14ac:dyDescent="0.15">
      <c r="A619" t="s">
        <v>72</v>
      </c>
      <c r="B619" t="s">
        <v>7550</v>
      </c>
      <c r="C619" t="s">
        <v>74</v>
      </c>
      <c r="D619" t="s">
        <v>74</v>
      </c>
      <c r="E619" t="s">
        <v>74</v>
      </c>
      <c r="F619" t="s">
        <v>7550</v>
      </c>
      <c r="G619" t="s">
        <v>74</v>
      </c>
      <c r="H619" t="s">
        <v>74</v>
      </c>
      <c r="I619" t="s">
        <v>7551</v>
      </c>
      <c r="J619" t="s">
        <v>1658</v>
      </c>
      <c r="K619" t="s">
        <v>74</v>
      </c>
      <c r="L619" t="s">
        <v>74</v>
      </c>
      <c r="M619" t="s">
        <v>77</v>
      </c>
      <c r="N619" t="s">
        <v>78</v>
      </c>
      <c r="O619" t="s">
        <v>74</v>
      </c>
      <c r="P619" t="s">
        <v>74</v>
      </c>
      <c r="Q619" t="s">
        <v>74</v>
      </c>
      <c r="R619" t="s">
        <v>74</v>
      </c>
      <c r="S619" t="s">
        <v>74</v>
      </c>
      <c r="T619" t="s">
        <v>74</v>
      </c>
      <c r="U619" t="s">
        <v>7552</v>
      </c>
      <c r="V619" t="s">
        <v>7553</v>
      </c>
      <c r="W619" t="s">
        <v>74</v>
      </c>
      <c r="X619" t="s">
        <v>74</v>
      </c>
      <c r="Y619" t="s">
        <v>7554</v>
      </c>
      <c r="Z619" t="s">
        <v>74</v>
      </c>
      <c r="AA619" t="s">
        <v>74</v>
      </c>
      <c r="AB619" t="s">
        <v>74</v>
      </c>
      <c r="AC619" t="s">
        <v>74</v>
      </c>
      <c r="AD619" t="s">
        <v>74</v>
      </c>
      <c r="AE619" t="s">
        <v>74</v>
      </c>
      <c r="AF619" t="s">
        <v>74</v>
      </c>
      <c r="AG619">
        <v>38</v>
      </c>
      <c r="AH619">
        <v>14</v>
      </c>
      <c r="AI619">
        <v>14</v>
      </c>
      <c r="AJ619">
        <v>0</v>
      </c>
      <c r="AK619">
        <v>4</v>
      </c>
      <c r="AL619" t="s">
        <v>87</v>
      </c>
      <c r="AM619" t="s">
        <v>88</v>
      </c>
      <c r="AN619" t="s">
        <v>7533</v>
      </c>
      <c r="AO619" t="s">
        <v>74</v>
      </c>
      <c r="AP619" t="s">
        <v>74</v>
      </c>
      <c r="AQ619" t="s">
        <v>74</v>
      </c>
      <c r="AR619" t="s">
        <v>1661</v>
      </c>
      <c r="AS619" t="s">
        <v>1662</v>
      </c>
      <c r="AT619" t="s">
        <v>7534</v>
      </c>
      <c r="AU619">
        <v>1997</v>
      </c>
      <c r="AV619">
        <v>102</v>
      </c>
      <c r="AW619" t="s">
        <v>7535</v>
      </c>
      <c r="AX619" t="s">
        <v>74</v>
      </c>
      <c r="AY619" t="s">
        <v>74</v>
      </c>
      <c r="AZ619" t="s">
        <v>74</v>
      </c>
      <c r="BA619" t="s">
        <v>74</v>
      </c>
      <c r="BB619">
        <v>27177</v>
      </c>
      <c r="BC619">
        <v>27187</v>
      </c>
      <c r="BD619" t="s">
        <v>74</v>
      </c>
      <c r="BE619" t="s">
        <v>7555</v>
      </c>
      <c r="BF619" t="str">
        <f>HYPERLINK("http://dx.doi.org/10.1029/97JA02034","http://dx.doi.org/10.1029/97JA02034")</f>
        <v>http://dx.doi.org/10.1029/97JA02034</v>
      </c>
      <c r="BG619" t="s">
        <v>74</v>
      </c>
      <c r="BH619" t="s">
        <v>74</v>
      </c>
      <c r="BI619">
        <v>11</v>
      </c>
      <c r="BJ619" t="s">
        <v>971</v>
      </c>
      <c r="BK619" t="s">
        <v>98</v>
      </c>
      <c r="BL619" t="s">
        <v>971</v>
      </c>
      <c r="BM619" t="s">
        <v>7537</v>
      </c>
      <c r="BN619" t="s">
        <v>74</v>
      </c>
      <c r="BO619" t="s">
        <v>74</v>
      </c>
      <c r="BP619" t="s">
        <v>74</v>
      </c>
      <c r="BQ619" t="s">
        <v>74</v>
      </c>
      <c r="BR619" t="s">
        <v>101</v>
      </c>
      <c r="BS619" t="s">
        <v>7556</v>
      </c>
      <c r="BT619" t="str">
        <f>HYPERLINK("https%3A%2F%2Fwww.webofscience.com%2Fwos%2Fwoscc%2Ffull-record%2FWOS:A1997YJ88800024","View Full Record in Web of Science")</f>
        <v>View Full Record in Web of Science</v>
      </c>
    </row>
    <row r="620" spans="1:72" x14ac:dyDescent="0.15">
      <c r="A620" t="s">
        <v>72</v>
      </c>
      <c r="B620" t="s">
        <v>7557</v>
      </c>
      <c r="C620" t="s">
        <v>74</v>
      </c>
      <c r="D620" t="s">
        <v>74</v>
      </c>
      <c r="E620" t="s">
        <v>74</v>
      </c>
      <c r="F620" t="s">
        <v>7557</v>
      </c>
      <c r="G620" t="s">
        <v>74</v>
      </c>
      <c r="H620" t="s">
        <v>74</v>
      </c>
      <c r="I620" t="s">
        <v>7558</v>
      </c>
      <c r="J620" t="s">
        <v>1709</v>
      </c>
      <c r="K620" t="s">
        <v>74</v>
      </c>
      <c r="L620" t="s">
        <v>74</v>
      </c>
      <c r="M620" t="s">
        <v>77</v>
      </c>
      <c r="N620" t="s">
        <v>78</v>
      </c>
      <c r="O620" t="s">
        <v>74</v>
      </c>
      <c r="P620" t="s">
        <v>74</v>
      </c>
      <c r="Q620" t="s">
        <v>74</v>
      </c>
      <c r="R620" t="s">
        <v>74</v>
      </c>
      <c r="S620" t="s">
        <v>74</v>
      </c>
      <c r="T620" t="s">
        <v>7559</v>
      </c>
      <c r="U620" t="s">
        <v>7560</v>
      </c>
      <c r="V620" t="s">
        <v>7561</v>
      </c>
      <c r="W620" t="s">
        <v>7562</v>
      </c>
      <c r="X620" t="s">
        <v>7563</v>
      </c>
      <c r="Y620" t="s">
        <v>7564</v>
      </c>
      <c r="Z620" t="s">
        <v>74</v>
      </c>
      <c r="AA620" t="s">
        <v>7565</v>
      </c>
      <c r="AB620" t="s">
        <v>74</v>
      </c>
      <c r="AC620" t="s">
        <v>74</v>
      </c>
      <c r="AD620" t="s">
        <v>74</v>
      </c>
      <c r="AE620" t="s">
        <v>74</v>
      </c>
      <c r="AF620" t="s">
        <v>74</v>
      </c>
      <c r="AG620">
        <v>79</v>
      </c>
      <c r="AH620">
        <v>17</v>
      </c>
      <c r="AI620">
        <v>18</v>
      </c>
      <c r="AJ620">
        <v>0</v>
      </c>
      <c r="AK620">
        <v>13</v>
      </c>
      <c r="AL620" t="s">
        <v>914</v>
      </c>
      <c r="AM620" t="s">
        <v>855</v>
      </c>
      <c r="AN620" t="s">
        <v>1718</v>
      </c>
      <c r="AO620" t="s">
        <v>1719</v>
      </c>
      <c r="AP620" t="s">
        <v>74</v>
      </c>
      <c r="AQ620" t="s">
        <v>74</v>
      </c>
      <c r="AR620" t="s">
        <v>1721</v>
      </c>
      <c r="AS620" t="s">
        <v>1722</v>
      </c>
      <c r="AT620" t="s">
        <v>7021</v>
      </c>
      <c r="AU620">
        <v>1997</v>
      </c>
      <c r="AV620">
        <v>18</v>
      </c>
      <c r="AW620">
        <v>4</v>
      </c>
      <c r="AX620" t="s">
        <v>74</v>
      </c>
      <c r="AY620" t="s">
        <v>74</v>
      </c>
      <c r="AZ620" t="s">
        <v>74</v>
      </c>
      <c r="BA620" t="s">
        <v>74</v>
      </c>
      <c r="BB620">
        <v>313</v>
      </c>
      <c r="BC620">
        <v>333</v>
      </c>
      <c r="BD620" t="s">
        <v>74</v>
      </c>
      <c r="BE620" t="s">
        <v>7566</v>
      </c>
      <c r="BF620" t="str">
        <f>HYPERLINK("http://dx.doi.org/10.1023/A:1007995614287","http://dx.doi.org/10.1023/A:1007995614287")</f>
        <v>http://dx.doi.org/10.1023/A:1007995614287</v>
      </c>
      <c r="BG620" t="s">
        <v>74</v>
      </c>
      <c r="BH620" t="s">
        <v>74</v>
      </c>
      <c r="BI620">
        <v>21</v>
      </c>
      <c r="BJ620" t="s">
        <v>1724</v>
      </c>
      <c r="BK620" t="s">
        <v>98</v>
      </c>
      <c r="BL620" t="s">
        <v>1725</v>
      </c>
      <c r="BM620" t="s">
        <v>7567</v>
      </c>
      <c r="BN620" t="s">
        <v>74</v>
      </c>
      <c r="BO620" t="s">
        <v>74</v>
      </c>
      <c r="BP620" t="s">
        <v>74</v>
      </c>
      <c r="BQ620" t="s">
        <v>74</v>
      </c>
      <c r="BR620" t="s">
        <v>101</v>
      </c>
      <c r="BS620" t="s">
        <v>7568</v>
      </c>
      <c r="BT620" t="str">
        <f>HYPERLINK("https%3A%2F%2Fwww.webofscience.com%2Fwos%2Fwoscc%2Ffull-record%2FWOS:000071606800001","View Full Record in Web of Science")</f>
        <v>View Full Record in Web of Science</v>
      </c>
    </row>
    <row r="621" spans="1:72" x14ac:dyDescent="0.15">
      <c r="A621" t="s">
        <v>72</v>
      </c>
      <c r="B621" t="s">
        <v>7569</v>
      </c>
      <c r="C621" t="s">
        <v>74</v>
      </c>
      <c r="D621" t="s">
        <v>74</v>
      </c>
      <c r="E621" t="s">
        <v>74</v>
      </c>
      <c r="F621" t="s">
        <v>7569</v>
      </c>
      <c r="G621" t="s">
        <v>74</v>
      </c>
      <c r="H621" t="s">
        <v>74</v>
      </c>
      <c r="I621" t="s">
        <v>7570</v>
      </c>
      <c r="J621" t="s">
        <v>1709</v>
      </c>
      <c r="K621" t="s">
        <v>74</v>
      </c>
      <c r="L621" t="s">
        <v>74</v>
      </c>
      <c r="M621" t="s">
        <v>77</v>
      </c>
      <c r="N621" t="s">
        <v>78</v>
      </c>
      <c r="O621" t="s">
        <v>74</v>
      </c>
      <c r="P621" t="s">
        <v>74</v>
      </c>
      <c r="Q621" t="s">
        <v>74</v>
      </c>
      <c r="R621" t="s">
        <v>74</v>
      </c>
      <c r="S621" t="s">
        <v>74</v>
      </c>
      <c r="T621" t="s">
        <v>7571</v>
      </c>
      <c r="U621" t="s">
        <v>7572</v>
      </c>
      <c r="V621" t="s">
        <v>7573</v>
      </c>
      <c r="W621" t="s">
        <v>7574</v>
      </c>
      <c r="X621" t="s">
        <v>7575</v>
      </c>
      <c r="Y621" t="s">
        <v>7576</v>
      </c>
      <c r="Z621" t="s">
        <v>74</v>
      </c>
      <c r="AA621" t="s">
        <v>5293</v>
      </c>
      <c r="AB621" t="s">
        <v>5294</v>
      </c>
      <c r="AC621" t="s">
        <v>74</v>
      </c>
      <c r="AD621" t="s">
        <v>74</v>
      </c>
      <c r="AE621" t="s">
        <v>74</v>
      </c>
      <c r="AF621" t="s">
        <v>74</v>
      </c>
      <c r="AG621">
        <v>88</v>
      </c>
      <c r="AH621">
        <v>23</v>
      </c>
      <c r="AI621">
        <v>30</v>
      </c>
      <c r="AJ621">
        <v>2</v>
      </c>
      <c r="AK621">
        <v>32</v>
      </c>
      <c r="AL621" t="s">
        <v>854</v>
      </c>
      <c r="AM621" t="s">
        <v>855</v>
      </c>
      <c r="AN621" t="s">
        <v>856</v>
      </c>
      <c r="AO621" t="s">
        <v>1719</v>
      </c>
      <c r="AP621" t="s">
        <v>74</v>
      </c>
      <c r="AQ621" t="s">
        <v>74</v>
      </c>
      <c r="AR621" t="s">
        <v>1721</v>
      </c>
      <c r="AS621" t="s">
        <v>1722</v>
      </c>
      <c r="AT621" t="s">
        <v>7021</v>
      </c>
      <c r="AU621">
        <v>1997</v>
      </c>
      <c r="AV621">
        <v>18</v>
      </c>
      <c r="AW621">
        <v>4</v>
      </c>
      <c r="AX621" t="s">
        <v>74</v>
      </c>
      <c r="AY621" t="s">
        <v>74</v>
      </c>
      <c r="AZ621" t="s">
        <v>74</v>
      </c>
      <c r="BA621" t="s">
        <v>74</v>
      </c>
      <c r="BB621">
        <v>335</v>
      </c>
      <c r="BC621">
        <v>350</v>
      </c>
      <c r="BD621" t="s">
        <v>74</v>
      </c>
      <c r="BE621" t="s">
        <v>7577</v>
      </c>
      <c r="BF621" t="str">
        <f>HYPERLINK("http://dx.doi.org/10.1023/A:1007943119392","http://dx.doi.org/10.1023/A:1007943119392")</f>
        <v>http://dx.doi.org/10.1023/A:1007943119392</v>
      </c>
      <c r="BG621" t="s">
        <v>74</v>
      </c>
      <c r="BH621" t="s">
        <v>74</v>
      </c>
      <c r="BI621">
        <v>16</v>
      </c>
      <c r="BJ621" t="s">
        <v>1724</v>
      </c>
      <c r="BK621" t="s">
        <v>98</v>
      </c>
      <c r="BL621" t="s">
        <v>1725</v>
      </c>
      <c r="BM621" t="s">
        <v>7567</v>
      </c>
      <c r="BN621" t="s">
        <v>74</v>
      </c>
      <c r="BO621" t="s">
        <v>74</v>
      </c>
      <c r="BP621" t="s">
        <v>74</v>
      </c>
      <c r="BQ621" t="s">
        <v>74</v>
      </c>
      <c r="BR621" t="s">
        <v>101</v>
      </c>
      <c r="BS621" t="s">
        <v>7578</v>
      </c>
      <c r="BT621" t="str">
        <f>HYPERLINK("https%3A%2F%2Fwww.webofscience.com%2Fwos%2Fwoscc%2Ffull-record%2FWOS:000071606800002","View Full Record in Web of Science")</f>
        <v>View Full Record in Web of Science</v>
      </c>
    </row>
    <row r="622" spans="1:72" x14ac:dyDescent="0.15">
      <c r="A622" t="s">
        <v>72</v>
      </c>
      <c r="B622" t="s">
        <v>7579</v>
      </c>
      <c r="C622" t="s">
        <v>74</v>
      </c>
      <c r="D622" t="s">
        <v>74</v>
      </c>
      <c r="E622" t="s">
        <v>74</v>
      </c>
      <c r="F622" t="s">
        <v>7579</v>
      </c>
      <c r="G622" t="s">
        <v>74</v>
      </c>
      <c r="H622" t="s">
        <v>74</v>
      </c>
      <c r="I622" t="s">
        <v>7580</v>
      </c>
      <c r="J622" t="s">
        <v>1730</v>
      </c>
      <c r="K622" t="s">
        <v>74</v>
      </c>
      <c r="L622" t="s">
        <v>74</v>
      </c>
      <c r="M622" t="s">
        <v>77</v>
      </c>
      <c r="N622" t="s">
        <v>78</v>
      </c>
      <c r="O622" t="s">
        <v>74</v>
      </c>
      <c r="P622" t="s">
        <v>74</v>
      </c>
      <c r="Q622" t="s">
        <v>74</v>
      </c>
      <c r="R622" t="s">
        <v>74</v>
      </c>
      <c r="S622" t="s">
        <v>74</v>
      </c>
      <c r="T622" t="s">
        <v>7581</v>
      </c>
      <c r="U622" t="s">
        <v>7582</v>
      </c>
      <c r="V622" t="s">
        <v>7583</v>
      </c>
      <c r="W622" t="s">
        <v>7584</v>
      </c>
      <c r="X622" t="s">
        <v>7585</v>
      </c>
      <c r="Y622" t="s">
        <v>6019</v>
      </c>
      <c r="Z622" t="s">
        <v>74</v>
      </c>
      <c r="AA622" t="s">
        <v>7586</v>
      </c>
      <c r="AB622" t="s">
        <v>7587</v>
      </c>
      <c r="AC622" t="s">
        <v>74</v>
      </c>
      <c r="AD622" t="s">
        <v>74</v>
      </c>
      <c r="AE622" t="s">
        <v>74</v>
      </c>
      <c r="AF622" t="s">
        <v>74</v>
      </c>
      <c r="AG622">
        <v>38</v>
      </c>
      <c r="AH622">
        <v>40</v>
      </c>
      <c r="AI622">
        <v>48</v>
      </c>
      <c r="AJ622">
        <v>0</v>
      </c>
      <c r="AK622">
        <v>8</v>
      </c>
      <c r="AL622" t="s">
        <v>1758</v>
      </c>
      <c r="AM622" t="s">
        <v>590</v>
      </c>
      <c r="AN622" t="s">
        <v>729</v>
      </c>
      <c r="AO622" t="s">
        <v>1740</v>
      </c>
      <c r="AP622" t="s">
        <v>74</v>
      </c>
      <c r="AQ622" t="s">
        <v>74</v>
      </c>
      <c r="AR622" t="s">
        <v>1742</v>
      </c>
      <c r="AS622" t="s">
        <v>1743</v>
      </c>
      <c r="AT622" t="s">
        <v>7021</v>
      </c>
      <c r="AU622">
        <v>1997</v>
      </c>
      <c r="AV622">
        <v>33</v>
      </c>
      <c r="AW622">
        <v>6</v>
      </c>
      <c r="AX622" t="s">
        <v>74</v>
      </c>
      <c r="AY622" t="s">
        <v>74</v>
      </c>
      <c r="AZ622" t="s">
        <v>74</v>
      </c>
      <c r="BA622" t="s">
        <v>74</v>
      </c>
      <c r="BB622">
        <v>1016</v>
      </c>
      <c r="BC622">
        <v>1023</v>
      </c>
      <c r="BD622" t="s">
        <v>74</v>
      </c>
      <c r="BE622" t="s">
        <v>7588</v>
      </c>
      <c r="BF622" t="str">
        <f>HYPERLINK("http://dx.doi.org/10.1111/j.0022-3646.1997.01016.x","http://dx.doi.org/10.1111/j.0022-3646.1997.01016.x")</f>
        <v>http://dx.doi.org/10.1111/j.0022-3646.1997.01016.x</v>
      </c>
      <c r="BG622" t="s">
        <v>74</v>
      </c>
      <c r="BH622" t="s">
        <v>74</v>
      </c>
      <c r="BI622">
        <v>8</v>
      </c>
      <c r="BJ622" t="s">
        <v>1299</v>
      </c>
      <c r="BK622" t="s">
        <v>98</v>
      </c>
      <c r="BL622" t="s">
        <v>1299</v>
      </c>
      <c r="BM622" t="s">
        <v>7589</v>
      </c>
      <c r="BN622" t="s">
        <v>74</v>
      </c>
      <c r="BO622" t="s">
        <v>74</v>
      </c>
      <c r="BP622" t="s">
        <v>74</v>
      </c>
      <c r="BQ622" t="s">
        <v>74</v>
      </c>
      <c r="BR622" t="s">
        <v>101</v>
      </c>
      <c r="BS622" t="s">
        <v>7590</v>
      </c>
      <c r="BT622" t="str">
        <f>HYPERLINK("https%3A%2F%2Fwww.webofscience.com%2Fwos%2Fwoscc%2Ffull-record%2FWOS:000071487600015","View Full Record in Web of Science")</f>
        <v>View Full Record in Web of Science</v>
      </c>
    </row>
    <row r="623" spans="1:72" x14ac:dyDescent="0.15">
      <c r="A623" t="s">
        <v>72</v>
      </c>
      <c r="B623" t="s">
        <v>7591</v>
      </c>
      <c r="C623" t="s">
        <v>74</v>
      </c>
      <c r="D623" t="s">
        <v>74</v>
      </c>
      <c r="E623" t="s">
        <v>74</v>
      </c>
      <c r="F623" t="s">
        <v>7591</v>
      </c>
      <c r="G623" t="s">
        <v>74</v>
      </c>
      <c r="H623" t="s">
        <v>74</v>
      </c>
      <c r="I623" t="s">
        <v>7592</v>
      </c>
      <c r="J623" t="s">
        <v>5300</v>
      </c>
      <c r="K623" t="s">
        <v>74</v>
      </c>
      <c r="L623" t="s">
        <v>74</v>
      </c>
      <c r="M623" t="s">
        <v>77</v>
      </c>
      <c r="N623" t="s">
        <v>78</v>
      </c>
      <c r="O623" t="s">
        <v>74</v>
      </c>
      <c r="P623" t="s">
        <v>74</v>
      </c>
      <c r="Q623" t="s">
        <v>74</v>
      </c>
      <c r="R623" t="s">
        <v>74</v>
      </c>
      <c r="S623" t="s">
        <v>74</v>
      </c>
      <c r="T623" t="s">
        <v>74</v>
      </c>
      <c r="U623" t="s">
        <v>74</v>
      </c>
      <c r="V623" t="s">
        <v>74</v>
      </c>
      <c r="W623" t="s">
        <v>7593</v>
      </c>
      <c r="X623" t="s">
        <v>3291</v>
      </c>
      <c r="Y623" t="s">
        <v>7594</v>
      </c>
      <c r="Z623" t="s">
        <v>74</v>
      </c>
      <c r="AA623" t="s">
        <v>74</v>
      </c>
      <c r="AB623" t="s">
        <v>74</v>
      </c>
      <c r="AC623" t="s">
        <v>74</v>
      </c>
      <c r="AD623" t="s">
        <v>74</v>
      </c>
      <c r="AE623" t="s">
        <v>74</v>
      </c>
      <c r="AF623" t="s">
        <v>74</v>
      </c>
      <c r="AG623">
        <v>0</v>
      </c>
      <c r="AH623">
        <v>0</v>
      </c>
      <c r="AI623">
        <v>0</v>
      </c>
      <c r="AJ623">
        <v>0</v>
      </c>
      <c r="AK623">
        <v>0</v>
      </c>
      <c r="AL623" t="s">
        <v>451</v>
      </c>
      <c r="AM623" t="s">
        <v>214</v>
      </c>
      <c r="AN623" t="s">
        <v>452</v>
      </c>
      <c r="AO623" t="s">
        <v>5304</v>
      </c>
      <c r="AP623" t="s">
        <v>74</v>
      </c>
      <c r="AQ623" t="s">
        <v>74</v>
      </c>
      <c r="AR623" t="s">
        <v>5305</v>
      </c>
      <c r="AS623" t="s">
        <v>5306</v>
      </c>
      <c r="AT623" t="s">
        <v>7021</v>
      </c>
      <c r="AU623">
        <v>1997</v>
      </c>
      <c r="AV623">
        <v>10</v>
      </c>
      <c r="AW623" t="s">
        <v>7595</v>
      </c>
      <c r="AX623" t="s">
        <v>74</v>
      </c>
      <c r="AY623" t="s">
        <v>74</v>
      </c>
      <c r="AZ623" t="s">
        <v>74</v>
      </c>
      <c r="BA623" t="s">
        <v>74</v>
      </c>
      <c r="BB623" t="s">
        <v>7596</v>
      </c>
      <c r="BC623" t="s">
        <v>7597</v>
      </c>
      <c r="BD623" t="s">
        <v>74</v>
      </c>
      <c r="BE623" t="s">
        <v>7598</v>
      </c>
      <c r="BF623" t="str">
        <f>HYPERLINK("http://dx.doi.org/10.1016/S0895-9811(97)90065-1","http://dx.doi.org/10.1016/S0895-9811(97)90065-1")</f>
        <v>http://dx.doi.org/10.1016/S0895-9811(97)90065-1</v>
      </c>
      <c r="BG623" t="s">
        <v>74</v>
      </c>
      <c r="BH623" t="s">
        <v>74</v>
      </c>
      <c r="BI623">
        <v>2</v>
      </c>
      <c r="BJ623" t="s">
        <v>769</v>
      </c>
      <c r="BK623" t="s">
        <v>98</v>
      </c>
      <c r="BL623" t="s">
        <v>471</v>
      </c>
      <c r="BM623" t="s">
        <v>7599</v>
      </c>
      <c r="BN623" t="s">
        <v>74</v>
      </c>
      <c r="BO623" t="s">
        <v>74</v>
      </c>
      <c r="BP623" t="s">
        <v>74</v>
      </c>
      <c r="BQ623" t="s">
        <v>74</v>
      </c>
      <c r="BR623" t="s">
        <v>101</v>
      </c>
      <c r="BS623" t="s">
        <v>7600</v>
      </c>
      <c r="BT623" t="str">
        <f>HYPERLINK("https%3A%2F%2Fwww.webofscience.com%2Fwos%2Fwoscc%2Ffull-record%2FWOS:000073880300012","View Full Record in Web of Science")</f>
        <v>View Full Record in Web of Science</v>
      </c>
    </row>
    <row r="624" spans="1:72" x14ac:dyDescent="0.15">
      <c r="A624" t="s">
        <v>72</v>
      </c>
      <c r="B624" t="s">
        <v>7601</v>
      </c>
      <c r="C624" t="s">
        <v>74</v>
      </c>
      <c r="D624" t="s">
        <v>74</v>
      </c>
      <c r="E624" t="s">
        <v>74</v>
      </c>
      <c r="F624" t="s">
        <v>7601</v>
      </c>
      <c r="G624" t="s">
        <v>74</v>
      </c>
      <c r="H624" t="s">
        <v>74</v>
      </c>
      <c r="I624" t="s">
        <v>7602</v>
      </c>
      <c r="J624" t="s">
        <v>7603</v>
      </c>
      <c r="K624" t="s">
        <v>74</v>
      </c>
      <c r="L624" t="s">
        <v>74</v>
      </c>
      <c r="M624" t="s">
        <v>77</v>
      </c>
      <c r="N624" t="s">
        <v>78</v>
      </c>
      <c r="O624" t="s">
        <v>74</v>
      </c>
      <c r="P624" t="s">
        <v>74</v>
      </c>
      <c r="Q624" t="s">
        <v>74</v>
      </c>
      <c r="R624" t="s">
        <v>74</v>
      </c>
      <c r="S624" t="s">
        <v>74</v>
      </c>
      <c r="T624" t="s">
        <v>7604</v>
      </c>
      <c r="U624" t="s">
        <v>7605</v>
      </c>
      <c r="V624" t="s">
        <v>7606</v>
      </c>
      <c r="W624" t="s">
        <v>7607</v>
      </c>
      <c r="X624" t="s">
        <v>7608</v>
      </c>
      <c r="Y624" t="s">
        <v>7609</v>
      </c>
      <c r="Z624" t="s">
        <v>74</v>
      </c>
      <c r="AA624" t="s">
        <v>5063</v>
      </c>
      <c r="AB624" t="s">
        <v>74</v>
      </c>
      <c r="AC624" t="s">
        <v>74</v>
      </c>
      <c r="AD624" t="s">
        <v>74</v>
      </c>
      <c r="AE624" t="s">
        <v>74</v>
      </c>
      <c r="AF624" t="s">
        <v>74</v>
      </c>
      <c r="AG624">
        <v>75</v>
      </c>
      <c r="AH624">
        <v>25</v>
      </c>
      <c r="AI624">
        <v>30</v>
      </c>
      <c r="AJ624">
        <v>1</v>
      </c>
      <c r="AK624">
        <v>13</v>
      </c>
      <c r="AL624" t="s">
        <v>451</v>
      </c>
      <c r="AM624" t="s">
        <v>214</v>
      </c>
      <c r="AN624" t="s">
        <v>452</v>
      </c>
      <c r="AO624" t="s">
        <v>7610</v>
      </c>
      <c r="AP624" t="s">
        <v>74</v>
      </c>
      <c r="AQ624" t="s">
        <v>74</v>
      </c>
      <c r="AR624" t="s">
        <v>7611</v>
      </c>
      <c r="AS624" t="s">
        <v>7612</v>
      </c>
      <c r="AT624" t="s">
        <v>7021</v>
      </c>
      <c r="AU624">
        <v>1997</v>
      </c>
      <c r="AV624">
        <v>22</v>
      </c>
      <c r="AW624">
        <v>6</v>
      </c>
      <c r="AX624" t="s">
        <v>74</v>
      </c>
      <c r="AY624" t="s">
        <v>74</v>
      </c>
      <c r="AZ624" t="s">
        <v>74</v>
      </c>
      <c r="BA624" t="s">
        <v>74</v>
      </c>
      <c r="BB624">
        <v>391</v>
      </c>
      <c r="BC624">
        <v>401</v>
      </c>
      <c r="BD624" t="s">
        <v>74</v>
      </c>
      <c r="BE624" t="s">
        <v>7613</v>
      </c>
      <c r="BF624" t="str">
        <f>HYPERLINK("http://dx.doi.org/10.1016/S0306-4565(97)00058-2","http://dx.doi.org/10.1016/S0306-4565(97)00058-2")</f>
        <v>http://dx.doi.org/10.1016/S0306-4565(97)00058-2</v>
      </c>
      <c r="BG624" t="s">
        <v>74</v>
      </c>
      <c r="BH624" t="s">
        <v>74</v>
      </c>
      <c r="BI624">
        <v>11</v>
      </c>
      <c r="BJ624" t="s">
        <v>7614</v>
      </c>
      <c r="BK624" t="s">
        <v>98</v>
      </c>
      <c r="BL624" t="s">
        <v>7615</v>
      </c>
      <c r="BM624" t="s">
        <v>7616</v>
      </c>
      <c r="BN624" t="s">
        <v>74</v>
      </c>
      <c r="BO624" t="s">
        <v>74</v>
      </c>
      <c r="BP624" t="s">
        <v>74</v>
      </c>
      <c r="BQ624" t="s">
        <v>74</v>
      </c>
      <c r="BR624" t="s">
        <v>101</v>
      </c>
      <c r="BS624" t="s">
        <v>7617</v>
      </c>
      <c r="BT624" t="str">
        <f>HYPERLINK("https%3A%2F%2Fwww.webofscience.com%2Fwos%2Fwoscc%2Ffull-record%2FWOS:000073264100004","View Full Record in Web of Science")</f>
        <v>View Full Record in Web of Science</v>
      </c>
    </row>
    <row r="625" spans="1:72" x14ac:dyDescent="0.15">
      <c r="A625" t="s">
        <v>72</v>
      </c>
      <c r="B625" t="s">
        <v>7618</v>
      </c>
      <c r="C625" t="s">
        <v>74</v>
      </c>
      <c r="D625" t="s">
        <v>74</v>
      </c>
      <c r="E625" t="s">
        <v>74</v>
      </c>
      <c r="F625" t="s">
        <v>7618</v>
      </c>
      <c r="G625" t="s">
        <v>74</v>
      </c>
      <c r="H625" t="s">
        <v>74</v>
      </c>
      <c r="I625" t="s">
        <v>7619</v>
      </c>
      <c r="J625" t="s">
        <v>7603</v>
      </c>
      <c r="K625" t="s">
        <v>74</v>
      </c>
      <c r="L625" t="s">
        <v>74</v>
      </c>
      <c r="M625" t="s">
        <v>77</v>
      </c>
      <c r="N625" t="s">
        <v>78</v>
      </c>
      <c r="O625" t="s">
        <v>74</v>
      </c>
      <c r="P625" t="s">
        <v>74</v>
      </c>
      <c r="Q625" t="s">
        <v>74</v>
      </c>
      <c r="R625" t="s">
        <v>74</v>
      </c>
      <c r="S625" t="s">
        <v>74</v>
      </c>
      <c r="T625" t="s">
        <v>7620</v>
      </c>
      <c r="U625" t="s">
        <v>7621</v>
      </c>
      <c r="V625" t="s">
        <v>7622</v>
      </c>
      <c r="W625" t="s">
        <v>7623</v>
      </c>
      <c r="X625" t="s">
        <v>7624</v>
      </c>
      <c r="Y625" t="s">
        <v>7625</v>
      </c>
      <c r="Z625" t="s">
        <v>74</v>
      </c>
      <c r="AA625" t="s">
        <v>74</v>
      </c>
      <c r="AB625" t="s">
        <v>74</v>
      </c>
      <c r="AC625" t="s">
        <v>74</v>
      </c>
      <c r="AD625" t="s">
        <v>74</v>
      </c>
      <c r="AE625" t="s">
        <v>74</v>
      </c>
      <c r="AF625" t="s">
        <v>74</v>
      </c>
      <c r="AG625">
        <v>9</v>
      </c>
      <c r="AH625">
        <v>11</v>
      </c>
      <c r="AI625">
        <v>15</v>
      </c>
      <c r="AJ625">
        <v>0</v>
      </c>
      <c r="AK625">
        <v>5</v>
      </c>
      <c r="AL625" t="s">
        <v>451</v>
      </c>
      <c r="AM625" t="s">
        <v>214</v>
      </c>
      <c r="AN625" t="s">
        <v>452</v>
      </c>
      <c r="AO625" t="s">
        <v>7610</v>
      </c>
      <c r="AP625" t="s">
        <v>74</v>
      </c>
      <c r="AQ625" t="s">
        <v>74</v>
      </c>
      <c r="AR625" t="s">
        <v>7611</v>
      </c>
      <c r="AS625" t="s">
        <v>7612</v>
      </c>
      <c r="AT625" t="s">
        <v>7021</v>
      </c>
      <c r="AU625">
        <v>1997</v>
      </c>
      <c r="AV625">
        <v>22</v>
      </c>
      <c r="AW625">
        <v>6</v>
      </c>
      <c r="AX625" t="s">
        <v>74</v>
      </c>
      <c r="AY625" t="s">
        <v>74</v>
      </c>
      <c r="AZ625" t="s">
        <v>74</v>
      </c>
      <c r="BA625" t="s">
        <v>74</v>
      </c>
      <c r="BB625">
        <v>403</v>
      </c>
      <c r="BC625">
        <v>407</v>
      </c>
      <c r="BD625" t="s">
        <v>74</v>
      </c>
      <c r="BE625" t="s">
        <v>7626</v>
      </c>
      <c r="BF625" t="str">
        <f>HYPERLINK("http://dx.doi.org/10.1016/S0306-4565(97)00059-4","http://dx.doi.org/10.1016/S0306-4565(97)00059-4")</f>
        <v>http://dx.doi.org/10.1016/S0306-4565(97)00059-4</v>
      </c>
      <c r="BG625" t="s">
        <v>74</v>
      </c>
      <c r="BH625" t="s">
        <v>74</v>
      </c>
      <c r="BI625">
        <v>5</v>
      </c>
      <c r="BJ625" t="s">
        <v>7614</v>
      </c>
      <c r="BK625" t="s">
        <v>98</v>
      </c>
      <c r="BL625" t="s">
        <v>7615</v>
      </c>
      <c r="BM625" t="s">
        <v>7616</v>
      </c>
      <c r="BN625" t="s">
        <v>74</v>
      </c>
      <c r="BO625" t="s">
        <v>74</v>
      </c>
      <c r="BP625" t="s">
        <v>74</v>
      </c>
      <c r="BQ625" t="s">
        <v>74</v>
      </c>
      <c r="BR625" t="s">
        <v>101</v>
      </c>
      <c r="BS625" t="s">
        <v>7627</v>
      </c>
      <c r="BT625" t="str">
        <f>HYPERLINK("https%3A%2F%2Fwww.webofscience.com%2Fwos%2Fwoscc%2Ffull-record%2FWOS:000073264100005","View Full Record in Web of Science")</f>
        <v>View Full Record in Web of Science</v>
      </c>
    </row>
    <row r="626" spans="1:72" x14ac:dyDescent="0.15">
      <c r="A626" t="s">
        <v>72</v>
      </c>
      <c r="B626" t="s">
        <v>7628</v>
      </c>
      <c r="C626" t="s">
        <v>74</v>
      </c>
      <c r="D626" t="s">
        <v>74</v>
      </c>
      <c r="E626" t="s">
        <v>74</v>
      </c>
      <c r="F626" t="s">
        <v>7628</v>
      </c>
      <c r="G626" t="s">
        <v>74</v>
      </c>
      <c r="H626" t="s">
        <v>74</v>
      </c>
      <c r="I626" t="s">
        <v>7629</v>
      </c>
      <c r="J626" t="s">
        <v>7603</v>
      </c>
      <c r="K626" t="s">
        <v>74</v>
      </c>
      <c r="L626" t="s">
        <v>74</v>
      </c>
      <c r="M626" t="s">
        <v>77</v>
      </c>
      <c r="N626" t="s">
        <v>78</v>
      </c>
      <c r="O626" t="s">
        <v>74</v>
      </c>
      <c r="P626" t="s">
        <v>74</v>
      </c>
      <c r="Q626" t="s">
        <v>74</v>
      </c>
      <c r="R626" t="s">
        <v>74</v>
      </c>
      <c r="S626" t="s">
        <v>74</v>
      </c>
      <c r="T626" t="s">
        <v>7630</v>
      </c>
      <c r="U626" t="s">
        <v>7631</v>
      </c>
      <c r="V626" t="s">
        <v>7632</v>
      </c>
      <c r="W626" t="s">
        <v>7633</v>
      </c>
      <c r="X626" t="s">
        <v>7634</v>
      </c>
      <c r="Y626" t="s">
        <v>7256</v>
      </c>
      <c r="Z626" t="s">
        <v>7257</v>
      </c>
      <c r="AA626" t="s">
        <v>7635</v>
      </c>
      <c r="AB626" t="s">
        <v>7636</v>
      </c>
      <c r="AC626" t="s">
        <v>74</v>
      </c>
      <c r="AD626" t="s">
        <v>74</v>
      </c>
      <c r="AE626" t="s">
        <v>74</v>
      </c>
      <c r="AF626" t="s">
        <v>74</v>
      </c>
      <c r="AG626">
        <v>43</v>
      </c>
      <c r="AH626">
        <v>28</v>
      </c>
      <c r="AI626">
        <v>29</v>
      </c>
      <c r="AJ626">
        <v>5</v>
      </c>
      <c r="AK626">
        <v>34</v>
      </c>
      <c r="AL626" t="s">
        <v>451</v>
      </c>
      <c r="AM626" t="s">
        <v>214</v>
      </c>
      <c r="AN626" t="s">
        <v>452</v>
      </c>
      <c r="AO626" t="s">
        <v>7610</v>
      </c>
      <c r="AP626" t="s">
        <v>74</v>
      </c>
      <c r="AQ626" t="s">
        <v>74</v>
      </c>
      <c r="AR626" t="s">
        <v>7611</v>
      </c>
      <c r="AS626" t="s">
        <v>7612</v>
      </c>
      <c r="AT626" t="s">
        <v>7021</v>
      </c>
      <c r="AU626">
        <v>1997</v>
      </c>
      <c r="AV626">
        <v>22</v>
      </c>
      <c r="AW626">
        <v>6</v>
      </c>
      <c r="AX626" t="s">
        <v>74</v>
      </c>
      <c r="AY626" t="s">
        <v>74</v>
      </c>
      <c r="AZ626" t="s">
        <v>74</v>
      </c>
      <c r="BA626" t="s">
        <v>74</v>
      </c>
      <c r="BB626">
        <v>409</v>
      </c>
      <c r="BC626">
        <v>417</v>
      </c>
      <c r="BD626" t="s">
        <v>74</v>
      </c>
      <c r="BE626" t="s">
        <v>7637</v>
      </c>
      <c r="BF626" t="str">
        <f>HYPERLINK("http://dx.doi.org/10.1016/S0306-4565(97)00060-0","http://dx.doi.org/10.1016/S0306-4565(97)00060-0")</f>
        <v>http://dx.doi.org/10.1016/S0306-4565(97)00060-0</v>
      </c>
      <c r="BG626" t="s">
        <v>74</v>
      </c>
      <c r="BH626" t="s">
        <v>74</v>
      </c>
      <c r="BI626">
        <v>9</v>
      </c>
      <c r="BJ626" t="s">
        <v>7614</v>
      </c>
      <c r="BK626" t="s">
        <v>98</v>
      </c>
      <c r="BL626" t="s">
        <v>7615</v>
      </c>
      <c r="BM626" t="s">
        <v>7616</v>
      </c>
      <c r="BN626" t="s">
        <v>74</v>
      </c>
      <c r="BO626" t="s">
        <v>74</v>
      </c>
      <c r="BP626" t="s">
        <v>74</v>
      </c>
      <c r="BQ626" t="s">
        <v>74</v>
      </c>
      <c r="BR626" t="s">
        <v>101</v>
      </c>
      <c r="BS626" t="s">
        <v>7638</v>
      </c>
      <c r="BT626" t="str">
        <f>HYPERLINK("https%3A%2F%2Fwww.webofscience.com%2Fwos%2Fwoscc%2Ffull-record%2FWOS:000073264100006","View Full Record in Web of Science")</f>
        <v>View Full Record in Web of Science</v>
      </c>
    </row>
    <row r="627" spans="1:72" x14ac:dyDescent="0.15">
      <c r="A627" t="s">
        <v>72</v>
      </c>
      <c r="B627" t="s">
        <v>7639</v>
      </c>
      <c r="C627" t="s">
        <v>74</v>
      </c>
      <c r="D627" t="s">
        <v>74</v>
      </c>
      <c r="E627" t="s">
        <v>74</v>
      </c>
      <c r="F627" t="s">
        <v>7639</v>
      </c>
      <c r="G627" t="s">
        <v>74</v>
      </c>
      <c r="H627" t="s">
        <v>74</v>
      </c>
      <c r="I627" t="s">
        <v>7640</v>
      </c>
      <c r="J627" t="s">
        <v>7603</v>
      </c>
      <c r="K627" t="s">
        <v>74</v>
      </c>
      <c r="L627" t="s">
        <v>74</v>
      </c>
      <c r="M627" t="s">
        <v>77</v>
      </c>
      <c r="N627" t="s">
        <v>78</v>
      </c>
      <c r="O627" t="s">
        <v>74</v>
      </c>
      <c r="P627" t="s">
        <v>74</v>
      </c>
      <c r="Q627" t="s">
        <v>74</v>
      </c>
      <c r="R627" t="s">
        <v>74</v>
      </c>
      <c r="S627" t="s">
        <v>74</v>
      </c>
      <c r="T627" t="s">
        <v>7641</v>
      </c>
      <c r="U627" t="s">
        <v>7642</v>
      </c>
      <c r="V627" t="s">
        <v>7643</v>
      </c>
      <c r="W627" t="s">
        <v>7644</v>
      </c>
      <c r="X627" t="s">
        <v>7624</v>
      </c>
      <c r="Y627" t="s">
        <v>7645</v>
      </c>
      <c r="Z627" t="s">
        <v>74</v>
      </c>
      <c r="AA627" t="s">
        <v>7646</v>
      </c>
      <c r="AB627" t="s">
        <v>74</v>
      </c>
      <c r="AC627" t="s">
        <v>74</v>
      </c>
      <c r="AD627" t="s">
        <v>74</v>
      </c>
      <c r="AE627" t="s">
        <v>74</v>
      </c>
      <c r="AF627" t="s">
        <v>74</v>
      </c>
      <c r="AG627">
        <v>48</v>
      </c>
      <c r="AH627">
        <v>47</v>
      </c>
      <c r="AI627">
        <v>57</v>
      </c>
      <c r="AJ627">
        <v>0</v>
      </c>
      <c r="AK627">
        <v>100</v>
      </c>
      <c r="AL627" t="s">
        <v>451</v>
      </c>
      <c r="AM627" t="s">
        <v>214</v>
      </c>
      <c r="AN627" t="s">
        <v>452</v>
      </c>
      <c r="AO627" t="s">
        <v>7610</v>
      </c>
      <c r="AP627" t="s">
        <v>74</v>
      </c>
      <c r="AQ627" t="s">
        <v>74</v>
      </c>
      <c r="AR627" t="s">
        <v>7611</v>
      </c>
      <c r="AS627" t="s">
        <v>7612</v>
      </c>
      <c r="AT627" t="s">
        <v>7021</v>
      </c>
      <c r="AU627">
        <v>1997</v>
      </c>
      <c r="AV627">
        <v>22</v>
      </c>
      <c r="AW627">
        <v>6</v>
      </c>
      <c r="AX627" t="s">
        <v>74</v>
      </c>
      <c r="AY627" t="s">
        <v>74</v>
      </c>
      <c r="AZ627" t="s">
        <v>74</v>
      </c>
      <c r="BA627" t="s">
        <v>74</v>
      </c>
      <c r="BB627">
        <v>419</v>
      </c>
      <c r="BC627">
        <v>427</v>
      </c>
      <c r="BD627" t="s">
        <v>74</v>
      </c>
      <c r="BE627" t="s">
        <v>7647</v>
      </c>
      <c r="BF627" t="str">
        <f>HYPERLINK("http://dx.doi.org/10.1016/S0306-4565(97)00061-2","http://dx.doi.org/10.1016/S0306-4565(97)00061-2")</f>
        <v>http://dx.doi.org/10.1016/S0306-4565(97)00061-2</v>
      </c>
      <c r="BG627" t="s">
        <v>74</v>
      </c>
      <c r="BH627" t="s">
        <v>74</v>
      </c>
      <c r="BI627">
        <v>9</v>
      </c>
      <c r="BJ627" t="s">
        <v>7614</v>
      </c>
      <c r="BK627" t="s">
        <v>98</v>
      </c>
      <c r="BL627" t="s">
        <v>7615</v>
      </c>
      <c r="BM627" t="s">
        <v>7616</v>
      </c>
      <c r="BN627" t="s">
        <v>74</v>
      </c>
      <c r="BO627" t="s">
        <v>74</v>
      </c>
      <c r="BP627" t="s">
        <v>74</v>
      </c>
      <c r="BQ627" t="s">
        <v>74</v>
      </c>
      <c r="BR627" t="s">
        <v>101</v>
      </c>
      <c r="BS627" t="s">
        <v>7648</v>
      </c>
      <c r="BT627" t="str">
        <f>HYPERLINK("https%3A%2F%2Fwww.webofscience.com%2Fwos%2Fwoscc%2Ffull-record%2FWOS:000073264100007","View Full Record in Web of Science")</f>
        <v>View Full Record in Web of Science</v>
      </c>
    </row>
    <row r="628" spans="1:72" x14ac:dyDescent="0.15">
      <c r="A628" t="s">
        <v>72</v>
      </c>
      <c r="B628" t="s">
        <v>7649</v>
      </c>
      <c r="C628" t="s">
        <v>74</v>
      </c>
      <c r="D628" t="s">
        <v>74</v>
      </c>
      <c r="E628" t="s">
        <v>74</v>
      </c>
      <c r="F628" t="s">
        <v>7649</v>
      </c>
      <c r="G628" t="s">
        <v>74</v>
      </c>
      <c r="H628" t="s">
        <v>74</v>
      </c>
      <c r="I628" t="s">
        <v>7650</v>
      </c>
      <c r="J628" t="s">
        <v>7603</v>
      </c>
      <c r="K628" t="s">
        <v>74</v>
      </c>
      <c r="L628" t="s">
        <v>74</v>
      </c>
      <c r="M628" t="s">
        <v>77</v>
      </c>
      <c r="N628" t="s">
        <v>494</v>
      </c>
      <c r="O628" t="s">
        <v>74</v>
      </c>
      <c r="P628" t="s">
        <v>74</v>
      </c>
      <c r="Q628" t="s">
        <v>74</v>
      </c>
      <c r="R628" t="s">
        <v>74</v>
      </c>
      <c r="S628" t="s">
        <v>74</v>
      </c>
      <c r="T628" t="s">
        <v>7651</v>
      </c>
      <c r="U628" t="s">
        <v>7652</v>
      </c>
      <c r="V628" t="s">
        <v>7653</v>
      </c>
      <c r="W628" t="s">
        <v>372</v>
      </c>
      <c r="X628" t="s">
        <v>322</v>
      </c>
      <c r="Y628" t="s">
        <v>7654</v>
      </c>
      <c r="Z628" t="s">
        <v>74</v>
      </c>
      <c r="AA628" t="s">
        <v>7655</v>
      </c>
      <c r="AB628" t="s">
        <v>7656</v>
      </c>
      <c r="AC628" t="s">
        <v>74</v>
      </c>
      <c r="AD628" t="s">
        <v>74</v>
      </c>
      <c r="AE628" t="s">
        <v>74</v>
      </c>
      <c r="AF628" t="s">
        <v>74</v>
      </c>
      <c r="AG628">
        <v>113</v>
      </c>
      <c r="AH628">
        <v>57</v>
      </c>
      <c r="AI628">
        <v>66</v>
      </c>
      <c r="AJ628">
        <v>1</v>
      </c>
      <c r="AK628">
        <v>21</v>
      </c>
      <c r="AL628" t="s">
        <v>451</v>
      </c>
      <c r="AM628" t="s">
        <v>214</v>
      </c>
      <c r="AN628" t="s">
        <v>452</v>
      </c>
      <c r="AO628" t="s">
        <v>7610</v>
      </c>
      <c r="AP628" t="s">
        <v>74</v>
      </c>
      <c r="AQ628" t="s">
        <v>74</v>
      </c>
      <c r="AR628" t="s">
        <v>7611</v>
      </c>
      <c r="AS628" t="s">
        <v>7612</v>
      </c>
      <c r="AT628" t="s">
        <v>7021</v>
      </c>
      <c r="AU628">
        <v>1997</v>
      </c>
      <c r="AV628">
        <v>22</v>
      </c>
      <c r="AW628">
        <v>6</v>
      </c>
      <c r="AX628" t="s">
        <v>74</v>
      </c>
      <c r="AY628" t="s">
        <v>74</v>
      </c>
      <c r="AZ628" t="s">
        <v>74</v>
      </c>
      <c r="BA628" t="s">
        <v>74</v>
      </c>
      <c r="BB628">
        <v>429</v>
      </c>
      <c r="BC628">
        <v>440</v>
      </c>
      <c r="BD628" t="s">
        <v>74</v>
      </c>
      <c r="BE628" t="s">
        <v>7657</v>
      </c>
      <c r="BF628" t="str">
        <f>HYPERLINK("http://dx.doi.org/10.1016/S0306-4565(97)00062-4","http://dx.doi.org/10.1016/S0306-4565(97)00062-4")</f>
        <v>http://dx.doi.org/10.1016/S0306-4565(97)00062-4</v>
      </c>
      <c r="BG628" t="s">
        <v>74</v>
      </c>
      <c r="BH628" t="s">
        <v>74</v>
      </c>
      <c r="BI628">
        <v>12</v>
      </c>
      <c r="BJ628" t="s">
        <v>7614</v>
      </c>
      <c r="BK628" t="s">
        <v>98</v>
      </c>
      <c r="BL628" t="s">
        <v>7615</v>
      </c>
      <c r="BM628" t="s">
        <v>7616</v>
      </c>
      <c r="BN628" t="s">
        <v>74</v>
      </c>
      <c r="BO628" t="s">
        <v>74</v>
      </c>
      <c r="BP628" t="s">
        <v>74</v>
      </c>
      <c r="BQ628" t="s">
        <v>74</v>
      </c>
      <c r="BR628" t="s">
        <v>101</v>
      </c>
      <c r="BS628" t="s">
        <v>7658</v>
      </c>
      <c r="BT628" t="str">
        <f>HYPERLINK("https%3A%2F%2Fwww.webofscience.com%2Fwos%2Fwoscc%2Ffull-record%2FWOS:000073264100008","View Full Record in Web of Science")</f>
        <v>View Full Record in Web of Science</v>
      </c>
    </row>
    <row r="629" spans="1:72" x14ac:dyDescent="0.15">
      <c r="A629" t="s">
        <v>72</v>
      </c>
      <c r="B629" t="s">
        <v>7659</v>
      </c>
      <c r="C629" t="s">
        <v>74</v>
      </c>
      <c r="D629" t="s">
        <v>74</v>
      </c>
      <c r="E629" t="s">
        <v>74</v>
      </c>
      <c r="F629" t="s">
        <v>7659</v>
      </c>
      <c r="G629" t="s">
        <v>74</v>
      </c>
      <c r="H629" t="s">
        <v>74</v>
      </c>
      <c r="I629" t="s">
        <v>7660</v>
      </c>
      <c r="J629" t="s">
        <v>5407</v>
      </c>
      <c r="K629" t="s">
        <v>74</v>
      </c>
      <c r="L629" t="s">
        <v>74</v>
      </c>
      <c r="M629" t="s">
        <v>77</v>
      </c>
      <c r="N629" t="s">
        <v>78</v>
      </c>
      <c r="O629" t="s">
        <v>74</v>
      </c>
      <c r="P629" t="s">
        <v>74</v>
      </c>
      <c r="Q629" t="s">
        <v>74</v>
      </c>
      <c r="R629" t="s">
        <v>74</v>
      </c>
      <c r="S629" t="s">
        <v>74</v>
      </c>
      <c r="T629" t="s">
        <v>74</v>
      </c>
      <c r="U629" t="s">
        <v>74</v>
      </c>
      <c r="V629" t="s">
        <v>7661</v>
      </c>
      <c r="W629" t="s">
        <v>7662</v>
      </c>
      <c r="X629" t="s">
        <v>7663</v>
      </c>
      <c r="Y629" t="s">
        <v>7664</v>
      </c>
      <c r="Z629" t="s">
        <v>74</v>
      </c>
      <c r="AA629" t="s">
        <v>7665</v>
      </c>
      <c r="AB629" t="s">
        <v>7666</v>
      </c>
      <c r="AC629" t="s">
        <v>74</v>
      </c>
      <c r="AD629" t="s">
        <v>74</v>
      </c>
      <c r="AE629" t="s">
        <v>74</v>
      </c>
      <c r="AF629" t="s">
        <v>74</v>
      </c>
      <c r="AG629">
        <v>11</v>
      </c>
      <c r="AH629">
        <v>19</v>
      </c>
      <c r="AI629">
        <v>21</v>
      </c>
      <c r="AJ629">
        <v>0</v>
      </c>
      <c r="AK629">
        <v>7</v>
      </c>
      <c r="AL629" t="s">
        <v>5413</v>
      </c>
      <c r="AM629" t="s">
        <v>5414</v>
      </c>
      <c r="AN629" t="s">
        <v>5415</v>
      </c>
      <c r="AO629" t="s">
        <v>5416</v>
      </c>
      <c r="AP629" t="s">
        <v>74</v>
      </c>
      <c r="AQ629" t="s">
        <v>74</v>
      </c>
      <c r="AR629" t="s">
        <v>5417</v>
      </c>
      <c r="AS629" t="s">
        <v>5418</v>
      </c>
      <c r="AT629" t="s">
        <v>7021</v>
      </c>
      <c r="AU629">
        <v>1997</v>
      </c>
      <c r="AV629">
        <v>42</v>
      </c>
      <c r="AW629">
        <v>8</v>
      </c>
      <c r="AX629" t="s">
        <v>74</v>
      </c>
      <c r="AY629" t="s">
        <v>74</v>
      </c>
      <c r="AZ629" t="s">
        <v>74</v>
      </c>
      <c r="BA629" t="s">
        <v>74</v>
      </c>
      <c r="BB629">
        <v>1829</v>
      </c>
      <c r="BC629">
        <v>1833</v>
      </c>
      <c r="BD629" t="s">
        <v>74</v>
      </c>
      <c r="BE629" t="s">
        <v>7667</v>
      </c>
      <c r="BF629" t="str">
        <f>HYPERLINK("http://dx.doi.org/10.4319/lo.1997.42.8.1829","http://dx.doi.org/10.4319/lo.1997.42.8.1829")</f>
        <v>http://dx.doi.org/10.4319/lo.1997.42.8.1829</v>
      </c>
      <c r="BG629" t="s">
        <v>74</v>
      </c>
      <c r="BH629" t="s">
        <v>74</v>
      </c>
      <c r="BI629">
        <v>5</v>
      </c>
      <c r="BJ629" t="s">
        <v>5420</v>
      </c>
      <c r="BK629" t="s">
        <v>98</v>
      </c>
      <c r="BL629" t="s">
        <v>4525</v>
      </c>
      <c r="BM629" t="s">
        <v>7668</v>
      </c>
      <c r="BN629" t="s">
        <v>74</v>
      </c>
      <c r="BO629" t="s">
        <v>100</v>
      </c>
      <c r="BP629" t="s">
        <v>74</v>
      </c>
      <c r="BQ629" t="s">
        <v>74</v>
      </c>
      <c r="BR629" t="s">
        <v>101</v>
      </c>
      <c r="BS629" t="s">
        <v>7669</v>
      </c>
      <c r="BT629" t="str">
        <f>HYPERLINK("https%3A%2F%2Fwww.webofscience.com%2Fwos%2Fwoscc%2Ffull-record%2FWOS:000073407700020","View Full Record in Web of Science")</f>
        <v>View Full Record in Web of Science</v>
      </c>
    </row>
    <row r="630" spans="1:72" x14ac:dyDescent="0.15">
      <c r="A630" t="s">
        <v>72</v>
      </c>
      <c r="B630" t="s">
        <v>7670</v>
      </c>
      <c r="C630" t="s">
        <v>74</v>
      </c>
      <c r="D630" t="s">
        <v>74</v>
      </c>
      <c r="E630" t="s">
        <v>74</v>
      </c>
      <c r="F630" t="s">
        <v>7670</v>
      </c>
      <c r="G630" t="s">
        <v>74</v>
      </c>
      <c r="H630" t="s">
        <v>74</v>
      </c>
      <c r="I630" t="s">
        <v>7671</v>
      </c>
      <c r="J630" t="s">
        <v>1792</v>
      </c>
      <c r="K630" t="s">
        <v>74</v>
      </c>
      <c r="L630" t="s">
        <v>74</v>
      </c>
      <c r="M630" t="s">
        <v>77</v>
      </c>
      <c r="N630" t="s">
        <v>78</v>
      </c>
      <c r="O630" t="s">
        <v>74</v>
      </c>
      <c r="P630" t="s">
        <v>74</v>
      </c>
      <c r="Q630" t="s">
        <v>74</v>
      </c>
      <c r="R630" t="s">
        <v>74</v>
      </c>
      <c r="S630" t="s">
        <v>74</v>
      </c>
      <c r="T630" t="s">
        <v>74</v>
      </c>
      <c r="U630" t="s">
        <v>7672</v>
      </c>
      <c r="V630" t="s">
        <v>7673</v>
      </c>
      <c r="W630" t="s">
        <v>7674</v>
      </c>
      <c r="X630" t="s">
        <v>3151</v>
      </c>
      <c r="Y630" t="s">
        <v>7675</v>
      </c>
      <c r="Z630" t="s">
        <v>74</v>
      </c>
      <c r="AA630" t="s">
        <v>7676</v>
      </c>
      <c r="AB630" t="s">
        <v>7677</v>
      </c>
      <c r="AC630" t="s">
        <v>74</v>
      </c>
      <c r="AD630" t="s">
        <v>74</v>
      </c>
      <c r="AE630" t="s">
        <v>74</v>
      </c>
      <c r="AF630" t="s">
        <v>74</v>
      </c>
      <c r="AG630">
        <v>71</v>
      </c>
      <c r="AH630">
        <v>72</v>
      </c>
      <c r="AI630">
        <v>76</v>
      </c>
      <c r="AJ630">
        <v>0</v>
      </c>
      <c r="AK630">
        <v>13</v>
      </c>
      <c r="AL630" t="s">
        <v>897</v>
      </c>
      <c r="AM630" t="s">
        <v>244</v>
      </c>
      <c r="AN630" t="s">
        <v>898</v>
      </c>
      <c r="AO630" t="s">
        <v>1798</v>
      </c>
      <c r="AP630" t="s">
        <v>74</v>
      </c>
      <c r="AQ630" t="s">
        <v>74</v>
      </c>
      <c r="AR630" t="s">
        <v>1799</v>
      </c>
      <c r="AS630" t="s">
        <v>1800</v>
      </c>
      <c r="AT630" t="s">
        <v>7021</v>
      </c>
      <c r="AU630">
        <v>1997</v>
      </c>
      <c r="AV630">
        <v>130</v>
      </c>
      <c r="AW630">
        <v>2</v>
      </c>
      <c r="AX630" t="s">
        <v>74</v>
      </c>
      <c r="AY630" t="s">
        <v>74</v>
      </c>
      <c r="AZ630" t="s">
        <v>74</v>
      </c>
      <c r="BA630" t="s">
        <v>74</v>
      </c>
      <c r="BB630">
        <v>259</v>
      </c>
      <c r="BC630">
        <v>276</v>
      </c>
      <c r="BD630" t="s">
        <v>74</v>
      </c>
      <c r="BE630" t="s">
        <v>7678</v>
      </c>
      <c r="BF630" t="str">
        <f>HYPERLINK("http://dx.doi.org/10.1007/s002270050246","http://dx.doi.org/10.1007/s002270050246")</f>
        <v>http://dx.doi.org/10.1007/s002270050246</v>
      </c>
      <c r="BG630" t="s">
        <v>74</v>
      </c>
      <c r="BH630" t="s">
        <v>74</v>
      </c>
      <c r="BI630">
        <v>18</v>
      </c>
      <c r="BJ630" t="s">
        <v>1802</v>
      </c>
      <c r="BK630" t="s">
        <v>98</v>
      </c>
      <c r="BL630" t="s">
        <v>1802</v>
      </c>
      <c r="BM630" t="s">
        <v>7679</v>
      </c>
      <c r="BN630" t="s">
        <v>74</v>
      </c>
      <c r="BO630" t="s">
        <v>74</v>
      </c>
      <c r="BP630" t="s">
        <v>74</v>
      </c>
      <c r="BQ630" t="s">
        <v>74</v>
      </c>
      <c r="BR630" t="s">
        <v>101</v>
      </c>
      <c r="BS630" t="s">
        <v>7680</v>
      </c>
      <c r="BT630" t="str">
        <f>HYPERLINK("https%3A%2F%2Fwww.webofscience.com%2Fwos%2Fwoscc%2Ffull-record%2FWOS:000071438600015","View Full Record in Web of Science")</f>
        <v>View Full Record in Web of Science</v>
      </c>
    </row>
    <row r="631" spans="1:72" x14ac:dyDescent="0.15">
      <c r="A631" t="s">
        <v>72</v>
      </c>
      <c r="B631" t="s">
        <v>7681</v>
      </c>
      <c r="C631" t="s">
        <v>74</v>
      </c>
      <c r="D631" t="s">
        <v>74</v>
      </c>
      <c r="E631" t="s">
        <v>74</v>
      </c>
      <c r="F631" t="s">
        <v>7681</v>
      </c>
      <c r="G631" t="s">
        <v>74</v>
      </c>
      <c r="H631" t="s">
        <v>74</v>
      </c>
      <c r="I631" t="s">
        <v>7682</v>
      </c>
      <c r="J631" t="s">
        <v>7683</v>
      </c>
      <c r="K631" t="s">
        <v>74</v>
      </c>
      <c r="L631" t="s">
        <v>74</v>
      </c>
      <c r="M631" t="s">
        <v>77</v>
      </c>
      <c r="N631" t="s">
        <v>78</v>
      </c>
      <c r="O631" t="s">
        <v>74</v>
      </c>
      <c r="P631" t="s">
        <v>74</v>
      </c>
      <c r="Q631" t="s">
        <v>74</v>
      </c>
      <c r="R631" t="s">
        <v>74</v>
      </c>
      <c r="S631" t="s">
        <v>74</v>
      </c>
      <c r="T631" t="s">
        <v>7684</v>
      </c>
      <c r="U631" t="s">
        <v>7685</v>
      </c>
      <c r="V631" t="s">
        <v>7686</v>
      </c>
      <c r="W631" t="s">
        <v>7687</v>
      </c>
      <c r="X631" t="s">
        <v>7688</v>
      </c>
      <c r="Y631" t="s">
        <v>7689</v>
      </c>
      <c r="Z631" t="s">
        <v>74</v>
      </c>
      <c r="AA631" t="s">
        <v>7690</v>
      </c>
      <c r="AB631" t="s">
        <v>7691</v>
      </c>
      <c r="AC631" t="s">
        <v>74</v>
      </c>
      <c r="AD631" t="s">
        <v>74</v>
      </c>
      <c r="AE631" t="s">
        <v>74</v>
      </c>
      <c r="AF631" t="s">
        <v>74</v>
      </c>
      <c r="AG631">
        <v>38</v>
      </c>
      <c r="AH631">
        <v>13</v>
      </c>
      <c r="AI631">
        <v>15</v>
      </c>
      <c r="AJ631">
        <v>1</v>
      </c>
      <c r="AK631">
        <v>14</v>
      </c>
      <c r="AL631" t="s">
        <v>914</v>
      </c>
      <c r="AM631" t="s">
        <v>855</v>
      </c>
      <c r="AN631" t="s">
        <v>1718</v>
      </c>
      <c r="AO631" t="s">
        <v>5756</v>
      </c>
      <c r="AP631" t="s">
        <v>74</v>
      </c>
      <c r="AQ631" t="s">
        <v>74</v>
      </c>
      <c r="AR631" t="s">
        <v>5757</v>
      </c>
      <c r="AS631" t="s">
        <v>5758</v>
      </c>
      <c r="AT631" t="s">
        <v>7021</v>
      </c>
      <c r="AU631">
        <v>1997</v>
      </c>
      <c r="AV631">
        <v>19</v>
      </c>
      <c r="AW631">
        <v>6</v>
      </c>
      <c r="AX631" t="s">
        <v>74</v>
      </c>
      <c r="AY631" t="s">
        <v>74</v>
      </c>
      <c r="AZ631" t="s">
        <v>74</v>
      </c>
      <c r="BA631" t="s">
        <v>74</v>
      </c>
      <c r="BB631">
        <v>553</v>
      </c>
      <c r="BC631">
        <v>567</v>
      </c>
      <c r="BD631" t="s">
        <v>74</v>
      </c>
      <c r="BE631" t="s">
        <v>7692</v>
      </c>
      <c r="BF631" t="str">
        <f>HYPERLINK("http://dx.doi.org/10.1023/A:1004313109111","http://dx.doi.org/10.1023/A:1004313109111")</f>
        <v>http://dx.doi.org/10.1023/A:1004313109111</v>
      </c>
      <c r="BG631" t="s">
        <v>74</v>
      </c>
      <c r="BH631" t="s">
        <v>74</v>
      </c>
      <c r="BI631">
        <v>15</v>
      </c>
      <c r="BJ631" t="s">
        <v>5760</v>
      </c>
      <c r="BK631" t="s">
        <v>98</v>
      </c>
      <c r="BL631" t="s">
        <v>5760</v>
      </c>
      <c r="BM631" t="s">
        <v>7693</v>
      </c>
      <c r="BN631" t="s">
        <v>74</v>
      </c>
      <c r="BO631" t="s">
        <v>74</v>
      </c>
      <c r="BP631" t="s">
        <v>74</v>
      </c>
      <c r="BQ631" t="s">
        <v>74</v>
      </c>
      <c r="BR631" t="s">
        <v>101</v>
      </c>
      <c r="BS631" t="s">
        <v>7694</v>
      </c>
      <c r="BT631" t="str">
        <f>HYPERLINK("https%3A%2F%2Fwww.webofscience.com%2Fwos%2Fwoscc%2Ffull-record%2FWOS:000076461400007","View Full Record in Web of Science")</f>
        <v>View Full Record in Web of Science</v>
      </c>
    </row>
    <row r="632" spans="1:72" x14ac:dyDescent="0.15">
      <c r="A632" t="s">
        <v>72</v>
      </c>
      <c r="B632" t="s">
        <v>7695</v>
      </c>
      <c r="C632" t="s">
        <v>74</v>
      </c>
      <c r="D632" t="s">
        <v>74</v>
      </c>
      <c r="E632" t="s">
        <v>74</v>
      </c>
      <c r="F632" t="s">
        <v>7695</v>
      </c>
      <c r="G632" t="s">
        <v>74</v>
      </c>
      <c r="H632" t="s">
        <v>74</v>
      </c>
      <c r="I632" t="s">
        <v>7696</v>
      </c>
      <c r="J632" t="s">
        <v>5749</v>
      </c>
      <c r="K632" t="s">
        <v>74</v>
      </c>
      <c r="L632" t="s">
        <v>74</v>
      </c>
      <c r="M632" t="s">
        <v>77</v>
      </c>
      <c r="N632" t="s">
        <v>78</v>
      </c>
      <c r="O632" t="s">
        <v>74</v>
      </c>
      <c r="P632" t="s">
        <v>74</v>
      </c>
      <c r="Q632" t="s">
        <v>74</v>
      </c>
      <c r="R632" t="s">
        <v>74</v>
      </c>
      <c r="S632" t="s">
        <v>74</v>
      </c>
      <c r="T632" t="s">
        <v>7697</v>
      </c>
      <c r="U632" t="s">
        <v>7698</v>
      </c>
      <c r="V632" t="s">
        <v>7699</v>
      </c>
      <c r="W632" t="s">
        <v>7700</v>
      </c>
      <c r="X632" t="s">
        <v>7701</v>
      </c>
      <c r="Y632" t="s">
        <v>7702</v>
      </c>
      <c r="Z632" t="s">
        <v>74</v>
      </c>
      <c r="AA632" t="s">
        <v>7703</v>
      </c>
      <c r="AB632" t="s">
        <v>7704</v>
      </c>
      <c r="AC632" t="s">
        <v>74</v>
      </c>
      <c r="AD632" t="s">
        <v>74</v>
      </c>
      <c r="AE632" t="s">
        <v>74</v>
      </c>
      <c r="AF632" t="s">
        <v>74</v>
      </c>
      <c r="AG632">
        <v>64</v>
      </c>
      <c r="AH632">
        <v>71</v>
      </c>
      <c r="AI632">
        <v>80</v>
      </c>
      <c r="AJ632">
        <v>0</v>
      </c>
      <c r="AK632">
        <v>7</v>
      </c>
      <c r="AL632" t="s">
        <v>854</v>
      </c>
      <c r="AM632" t="s">
        <v>855</v>
      </c>
      <c r="AN632" t="s">
        <v>856</v>
      </c>
      <c r="AO632" t="s">
        <v>5756</v>
      </c>
      <c r="AP632" t="s">
        <v>74</v>
      </c>
      <c r="AQ632" t="s">
        <v>74</v>
      </c>
      <c r="AR632" t="s">
        <v>5757</v>
      </c>
      <c r="AS632" t="s">
        <v>5758</v>
      </c>
      <c r="AT632" t="s">
        <v>7021</v>
      </c>
      <c r="AU632">
        <v>1997</v>
      </c>
      <c r="AV632">
        <v>19</v>
      </c>
      <c r="AW632">
        <v>6</v>
      </c>
      <c r="AX632" t="s">
        <v>74</v>
      </c>
      <c r="AY632" t="s">
        <v>74</v>
      </c>
      <c r="AZ632" t="s">
        <v>74</v>
      </c>
      <c r="BA632" t="s">
        <v>74</v>
      </c>
      <c r="BB632">
        <v>505</v>
      </c>
      <c r="BC632">
        <v>533</v>
      </c>
      <c r="BD632" t="s">
        <v>74</v>
      </c>
      <c r="BE632" t="s">
        <v>7705</v>
      </c>
      <c r="BF632" t="str">
        <f>HYPERLINK("http://dx.doi.org/10.1023/A:1004232506333","http://dx.doi.org/10.1023/A:1004232506333")</f>
        <v>http://dx.doi.org/10.1023/A:1004232506333</v>
      </c>
      <c r="BG632" t="s">
        <v>74</v>
      </c>
      <c r="BH632" t="s">
        <v>74</v>
      </c>
      <c r="BI632">
        <v>29</v>
      </c>
      <c r="BJ632" t="s">
        <v>5760</v>
      </c>
      <c r="BK632" t="s">
        <v>98</v>
      </c>
      <c r="BL632" t="s">
        <v>5760</v>
      </c>
      <c r="BM632" t="s">
        <v>7693</v>
      </c>
      <c r="BN632" t="s">
        <v>74</v>
      </c>
      <c r="BO632" t="s">
        <v>74</v>
      </c>
      <c r="BP632" t="s">
        <v>74</v>
      </c>
      <c r="BQ632" t="s">
        <v>74</v>
      </c>
      <c r="BR632" t="s">
        <v>101</v>
      </c>
      <c r="BS632" t="s">
        <v>7706</v>
      </c>
      <c r="BT632" t="str">
        <f>HYPERLINK("https%3A%2F%2Fwww.webofscience.com%2Fwos%2Fwoscc%2Ffull-record%2FWOS:000076461400005","View Full Record in Web of Science")</f>
        <v>View Full Record in Web of Science</v>
      </c>
    </row>
    <row r="633" spans="1:72" x14ac:dyDescent="0.15">
      <c r="A633" t="s">
        <v>72</v>
      </c>
      <c r="B633" t="s">
        <v>7707</v>
      </c>
      <c r="C633" t="s">
        <v>74</v>
      </c>
      <c r="D633" t="s">
        <v>74</v>
      </c>
      <c r="E633" t="s">
        <v>74</v>
      </c>
      <c r="F633" t="s">
        <v>7707</v>
      </c>
      <c r="G633" t="s">
        <v>74</v>
      </c>
      <c r="H633" t="s">
        <v>74</v>
      </c>
      <c r="I633" t="s">
        <v>7708</v>
      </c>
      <c r="J633" t="s">
        <v>7709</v>
      </c>
      <c r="K633" t="s">
        <v>74</v>
      </c>
      <c r="L633" t="s">
        <v>74</v>
      </c>
      <c r="M633" t="s">
        <v>77</v>
      </c>
      <c r="N633" t="s">
        <v>78</v>
      </c>
      <c r="O633" t="s">
        <v>74</v>
      </c>
      <c r="P633" t="s">
        <v>74</v>
      </c>
      <c r="Q633" t="s">
        <v>74</v>
      </c>
      <c r="R633" t="s">
        <v>74</v>
      </c>
      <c r="S633" t="s">
        <v>74</v>
      </c>
      <c r="T633" t="s">
        <v>7710</v>
      </c>
      <c r="U633" t="s">
        <v>7711</v>
      </c>
      <c r="V633" t="s">
        <v>7712</v>
      </c>
      <c r="W633" t="s">
        <v>7713</v>
      </c>
      <c r="X633" t="s">
        <v>1714</v>
      </c>
      <c r="Y633" t="s">
        <v>7714</v>
      </c>
      <c r="Z633" t="s">
        <v>74</v>
      </c>
      <c r="AA633" t="s">
        <v>280</v>
      </c>
      <c r="AB633" t="s">
        <v>74</v>
      </c>
      <c r="AC633" t="s">
        <v>74</v>
      </c>
      <c r="AD633" t="s">
        <v>74</v>
      </c>
      <c r="AE633" t="s">
        <v>74</v>
      </c>
      <c r="AF633" t="s">
        <v>74</v>
      </c>
      <c r="AG633">
        <v>66</v>
      </c>
      <c r="AH633">
        <v>68</v>
      </c>
      <c r="AI633">
        <v>78</v>
      </c>
      <c r="AJ633">
        <v>1</v>
      </c>
      <c r="AK633">
        <v>11</v>
      </c>
      <c r="AL633" t="s">
        <v>1029</v>
      </c>
      <c r="AM633" t="s">
        <v>1030</v>
      </c>
      <c r="AN633" t="s">
        <v>1031</v>
      </c>
      <c r="AO633" t="s">
        <v>7715</v>
      </c>
      <c r="AP633" t="s">
        <v>74</v>
      </c>
      <c r="AQ633" t="s">
        <v>74</v>
      </c>
      <c r="AR633" t="s">
        <v>7716</v>
      </c>
      <c r="AS633" t="s">
        <v>7717</v>
      </c>
      <c r="AT633" t="s">
        <v>7021</v>
      </c>
      <c r="AU633">
        <v>1997</v>
      </c>
      <c r="AV633">
        <v>32</v>
      </c>
      <c r="AW633" t="s">
        <v>694</v>
      </c>
      <c r="AX633" t="s">
        <v>74</v>
      </c>
      <c r="AY633" t="s">
        <v>74</v>
      </c>
      <c r="AZ633" t="s">
        <v>74</v>
      </c>
      <c r="BA633" t="s">
        <v>74</v>
      </c>
      <c r="BB633">
        <v>209</v>
      </c>
      <c r="BC633">
        <v>229</v>
      </c>
      <c r="BD633" t="s">
        <v>74</v>
      </c>
      <c r="BE633" t="s">
        <v>7718</v>
      </c>
      <c r="BF633" t="str">
        <f>HYPERLINK("http://dx.doi.org/10.1016/S0377-8398(97)00021-2","http://dx.doi.org/10.1016/S0377-8398(97)00021-2")</f>
        <v>http://dx.doi.org/10.1016/S0377-8398(97)00021-2</v>
      </c>
      <c r="BG633" t="s">
        <v>74</v>
      </c>
      <c r="BH633" t="s">
        <v>74</v>
      </c>
      <c r="BI633">
        <v>21</v>
      </c>
      <c r="BJ633" t="s">
        <v>734</v>
      </c>
      <c r="BK633" t="s">
        <v>98</v>
      </c>
      <c r="BL633" t="s">
        <v>734</v>
      </c>
      <c r="BM633" t="s">
        <v>7719</v>
      </c>
      <c r="BN633" t="s">
        <v>74</v>
      </c>
      <c r="BO633" t="s">
        <v>74</v>
      </c>
      <c r="BP633" t="s">
        <v>74</v>
      </c>
      <c r="BQ633" t="s">
        <v>74</v>
      </c>
      <c r="BR633" t="s">
        <v>101</v>
      </c>
      <c r="BS633" t="s">
        <v>7720</v>
      </c>
      <c r="BT633" t="str">
        <f>HYPERLINK("https%3A%2F%2Fwww.webofscience.com%2Fwos%2Fwoscc%2Ffull-record%2FWOS:A1997YF94300001","View Full Record in Web of Science")</f>
        <v>View Full Record in Web of Science</v>
      </c>
    </row>
    <row r="634" spans="1:72" x14ac:dyDescent="0.15">
      <c r="A634" t="s">
        <v>72</v>
      </c>
      <c r="B634" t="s">
        <v>7721</v>
      </c>
      <c r="C634" t="s">
        <v>74</v>
      </c>
      <c r="D634" t="s">
        <v>74</v>
      </c>
      <c r="E634" t="s">
        <v>74</v>
      </c>
      <c r="F634" t="s">
        <v>7721</v>
      </c>
      <c r="G634" t="s">
        <v>74</v>
      </c>
      <c r="H634" t="s">
        <v>74</v>
      </c>
      <c r="I634" t="s">
        <v>7722</v>
      </c>
      <c r="J634" t="s">
        <v>7709</v>
      </c>
      <c r="K634" t="s">
        <v>74</v>
      </c>
      <c r="L634" t="s">
        <v>74</v>
      </c>
      <c r="M634" t="s">
        <v>77</v>
      </c>
      <c r="N634" t="s">
        <v>494</v>
      </c>
      <c r="O634" t="s">
        <v>74</v>
      </c>
      <c r="P634" t="s">
        <v>74</v>
      </c>
      <c r="Q634" t="s">
        <v>74</v>
      </c>
      <c r="R634" t="s">
        <v>74</v>
      </c>
      <c r="S634" t="s">
        <v>74</v>
      </c>
      <c r="T634" t="s">
        <v>7723</v>
      </c>
      <c r="U634" t="s">
        <v>7724</v>
      </c>
      <c r="V634" t="s">
        <v>7725</v>
      </c>
      <c r="W634" t="s">
        <v>7726</v>
      </c>
      <c r="X634" t="s">
        <v>7727</v>
      </c>
      <c r="Y634" t="s">
        <v>74</v>
      </c>
      <c r="Z634" t="s">
        <v>74</v>
      </c>
      <c r="AA634" t="s">
        <v>7728</v>
      </c>
      <c r="AB634" t="s">
        <v>7729</v>
      </c>
      <c r="AC634" t="s">
        <v>74</v>
      </c>
      <c r="AD634" t="s">
        <v>74</v>
      </c>
      <c r="AE634" t="s">
        <v>74</v>
      </c>
      <c r="AF634" t="s">
        <v>74</v>
      </c>
      <c r="AG634">
        <v>112</v>
      </c>
      <c r="AH634">
        <v>291</v>
      </c>
      <c r="AI634">
        <v>318</v>
      </c>
      <c r="AJ634">
        <v>1</v>
      </c>
      <c r="AK634">
        <v>33</v>
      </c>
      <c r="AL634" t="s">
        <v>1029</v>
      </c>
      <c r="AM634" t="s">
        <v>1030</v>
      </c>
      <c r="AN634" t="s">
        <v>1031</v>
      </c>
      <c r="AO634" t="s">
        <v>7715</v>
      </c>
      <c r="AP634" t="s">
        <v>74</v>
      </c>
      <c r="AQ634" t="s">
        <v>74</v>
      </c>
      <c r="AR634" t="s">
        <v>7716</v>
      </c>
      <c r="AS634" t="s">
        <v>7717</v>
      </c>
      <c r="AT634" t="s">
        <v>7021</v>
      </c>
      <c r="AU634">
        <v>1997</v>
      </c>
      <c r="AV634">
        <v>32</v>
      </c>
      <c r="AW634" t="s">
        <v>694</v>
      </c>
      <c r="AX634" t="s">
        <v>74</v>
      </c>
      <c r="AY634" t="s">
        <v>74</v>
      </c>
      <c r="AZ634" t="s">
        <v>74</v>
      </c>
      <c r="BA634" t="s">
        <v>74</v>
      </c>
      <c r="BB634">
        <v>249</v>
      </c>
      <c r="BC634">
        <v>287</v>
      </c>
      <c r="BD634" t="s">
        <v>74</v>
      </c>
      <c r="BE634" t="s">
        <v>7730</v>
      </c>
      <c r="BF634" t="str">
        <f>HYPERLINK("http://dx.doi.org/10.1016/S0377-8398(97)00023-6","http://dx.doi.org/10.1016/S0377-8398(97)00023-6")</f>
        <v>http://dx.doi.org/10.1016/S0377-8398(97)00023-6</v>
      </c>
      <c r="BG634" t="s">
        <v>74</v>
      </c>
      <c r="BH634" t="s">
        <v>74</v>
      </c>
      <c r="BI634">
        <v>39</v>
      </c>
      <c r="BJ634" t="s">
        <v>734</v>
      </c>
      <c r="BK634" t="s">
        <v>98</v>
      </c>
      <c r="BL634" t="s">
        <v>734</v>
      </c>
      <c r="BM634" t="s">
        <v>7719</v>
      </c>
      <c r="BN634" t="s">
        <v>74</v>
      </c>
      <c r="BO634" t="s">
        <v>74</v>
      </c>
      <c r="BP634" t="s">
        <v>74</v>
      </c>
      <c r="BQ634" t="s">
        <v>74</v>
      </c>
      <c r="BR634" t="s">
        <v>101</v>
      </c>
      <c r="BS634" t="s">
        <v>7731</v>
      </c>
      <c r="BT634" t="str">
        <f>HYPERLINK("https%3A%2F%2Fwww.webofscience.com%2Fwos%2Fwoscc%2Ffull-record%2FWOS:A1997YF94300003","View Full Record in Web of Science")</f>
        <v>View Full Record in Web of Science</v>
      </c>
    </row>
    <row r="635" spans="1:72" x14ac:dyDescent="0.15">
      <c r="A635" t="s">
        <v>72</v>
      </c>
      <c r="B635" t="s">
        <v>7732</v>
      </c>
      <c r="C635" t="s">
        <v>74</v>
      </c>
      <c r="D635" t="s">
        <v>74</v>
      </c>
      <c r="E635" t="s">
        <v>74</v>
      </c>
      <c r="F635" t="s">
        <v>7732</v>
      </c>
      <c r="G635" t="s">
        <v>74</v>
      </c>
      <c r="H635" t="s">
        <v>74</v>
      </c>
      <c r="I635" t="s">
        <v>7733</v>
      </c>
      <c r="J635" t="s">
        <v>7734</v>
      </c>
      <c r="K635" t="s">
        <v>74</v>
      </c>
      <c r="L635" t="s">
        <v>74</v>
      </c>
      <c r="M635" t="s">
        <v>77</v>
      </c>
      <c r="N635" t="s">
        <v>78</v>
      </c>
      <c r="O635" t="s">
        <v>74</v>
      </c>
      <c r="P635" t="s">
        <v>74</v>
      </c>
      <c r="Q635" t="s">
        <v>74</v>
      </c>
      <c r="R635" t="s">
        <v>74</v>
      </c>
      <c r="S635" t="s">
        <v>74</v>
      </c>
      <c r="T635" t="s">
        <v>7735</v>
      </c>
      <c r="U635" t="s">
        <v>74</v>
      </c>
      <c r="V635" t="s">
        <v>7736</v>
      </c>
      <c r="W635" t="s">
        <v>7737</v>
      </c>
      <c r="X635" t="s">
        <v>7738</v>
      </c>
      <c r="Y635" t="s">
        <v>7739</v>
      </c>
      <c r="Z635" t="s">
        <v>74</v>
      </c>
      <c r="AA635" t="s">
        <v>74</v>
      </c>
      <c r="AB635" t="s">
        <v>74</v>
      </c>
      <c r="AC635" t="s">
        <v>74</v>
      </c>
      <c r="AD635" t="s">
        <v>74</v>
      </c>
      <c r="AE635" t="s">
        <v>74</v>
      </c>
      <c r="AF635" t="s">
        <v>74</v>
      </c>
      <c r="AG635">
        <v>26</v>
      </c>
      <c r="AH635">
        <v>24</v>
      </c>
      <c r="AI635">
        <v>26</v>
      </c>
      <c r="AJ635">
        <v>1</v>
      </c>
      <c r="AK635">
        <v>7</v>
      </c>
      <c r="AL635" t="s">
        <v>7740</v>
      </c>
      <c r="AM635" t="s">
        <v>7741</v>
      </c>
      <c r="AN635" t="s">
        <v>7742</v>
      </c>
      <c r="AO635" t="s">
        <v>7743</v>
      </c>
      <c r="AP635" t="s">
        <v>74</v>
      </c>
      <c r="AQ635" t="s">
        <v>74</v>
      </c>
      <c r="AR635" t="s">
        <v>7744</v>
      </c>
      <c r="AS635" t="s">
        <v>7745</v>
      </c>
      <c r="AT635" t="s">
        <v>7021</v>
      </c>
      <c r="AU635">
        <v>1997</v>
      </c>
      <c r="AV635">
        <v>31</v>
      </c>
      <c r="AW635">
        <v>4</v>
      </c>
      <c r="AX635" t="s">
        <v>74</v>
      </c>
      <c r="AY635" t="s">
        <v>74</v>
      </c>
      <c r="AZ635" t="s">
        <v>74</v>
      </c>
      <c r="BA635" t="s">
        <v>74</v>
      </c>
      <c r="BB635">
        <v>505</v>
      </c>
      <c r="BC635">
        <v>513</v>
      </c>
      <c r="BD635" t="s">
        <v>74</v>
      </c>
      <c r="BE635" t="s">
        <v>7746</v>
      </c>
      <c r="BF635" t="str">
        <f>HYPERLINK("http://dx.doi.org/10.1080/00288330.1997.9516784","http://dx.doi.org/10.1080/00288330.1997.9516784")</f>
        <v>http://dx.doi.org/10.1080/00288330.1997.9516784</v>
      </c>
      <c r="BG635" t="s">
        <v>74</v>
      </c>
      <c r="BH635" t="s">
        <v>74</v>
      </c>
      <c r="BI635">
        <v>9</v>
      </c>
      <c r="BJ635" t="s">
        <v>5473</v>
      </c>
      <c r="BK635" t="s">
        <v>98</v>
      </c>
      <c r="BL635" t="s">
        <v>5473</v>
      </c>
      <c r="BM635" t="s">
        <v>7747</v>
      </c>
      <c r="BN635" t="s">
        <v>74</v>
      </c>
      <c r="BO635" t="s">
        <v>100</v>
      </c>
      <c r="BP635" t="s">
        <v>74</v>
      </c>
      <c r="BQ635" t="s">
        <v>74</v>
      </c>
      <c r="BR635" t="s">
        <v>101</v>
      </c>
      <c r="BS635" t="s">
        <v>7748</v>
      </c>
      <c r="BT635" t="str">
        <f>HYPERLINK("https%3A%2F%2Fwww.webofscience.com%2Fwos%2Fwoscc%2Ffull-record%2FWOS:000071258900010","View Full Record in Web of Science")</f>
        <v>View Full Record in Web of Science</v>
      </c>
    </row>
    <row r="636" spans="1:72" x14ac:dyDescent="0.15">
      <c r="A636" t="s">
        <v>72</v>
      </c>
      <c r="B636" t="s">
        <v>7749</v>
      </c>
      <c r="C636" t="s">
        <v>74</v>
      </c>
      <c r="D636" t="s">
        <v>74</v>
      </c>
      <c r="E636" t="s">
        <v>74</v>
      </c>
      <c r="F636" t="s">
        <v>7749</v>
      </c>
      <c r="G636" t="s">
        <v>74</v>
      </c>
      <c r="H636" t="s">
        <v>74</v>
      </c>
      <c r="I636" t="s">
        <v>7750</v>
      </c>
      <c r="J636" t="s">
        <v>1833</v>
      </c>
      <c r="K636" t="s">
        <v>74</v>
      </c>
      <c r="L636" t="s">
        <v>74</v>
      </c>
      <c r="M636" t="s">
        <v>77</v>
      </c>
      <c r="N636" t="s">
        <v>78</v>
      </c>
      <c r="O636" t="s">
        <v>74</v>
      </c>
      <c r="P636" t="s">
        <v>74</v>
      </c>
      <c r="Q636" t="s">
        <v>74</v>
      </c>
      <c r="R636" t="s">
        <v>74</v>
      </c>
      <c r="S636" t="s">
        <v>74</v>
      </c>
      <c r="T636" t="s">
        <v>74</v>
      </c>
      <c r="U636" t="s">
        <v>7751</v>
      </c>
      <c r="V636" t="s">
        <v>7752</v>
      </c>
      <c r="W636" t="s">
        <v>7753</v>
      </c>
      <c r="X636" t="s">
        <v>7754</v>
      </c>
      <c r="Y636" t="s">
        <v>7755</v>
      </c>
      <c r="Z636" t="s">
        <v>74</v>
      </c>
      <c r="AA636" t="s">
        <v>7756</v>
      </c>
      <c r="AB636" t="s">
        <v>4571</v>
      </c>
      <c r="AC636" t="s">
        <v>74</v>
      </c>
      <c r="AD636" t="s">
        <v>74</v>
      </c>
      <c r="AE636" t="s">
        <v>74</v>
      </c>
      <c r="AF636" t="s">
        <v>74</v>
      </c>
      <c r="AG636">
        <v>64</v>
      </c>
      <c r="AH636">
        <v>107</v>
      </c>
      <c r="AI636">
        <v>120</v>
      </c>
      <c r="AJ636">
        <v>0</v>
      </c>
      <c r="AK636">
        <v>23</v>
      </c>
      <c r="AL636" t="s">
        <v>87</v>
      </c>
      <c r="AM636" t="s">
        <v>88</v>
      </c>
      <c r="AN636" t="s">
        <v>89</v>
      </c>
      <c r="AO636" t="s">
        <v>1841</v>
      </c>
      <c r="AP636" t="s">
        <v>74</v>
      </c>
      <c r="AQ636" t="s">
        <v>74</v>
      </c>
      <c r="AR636" t="s">
        <v>1833</v>
      </c>
      <c r="AS636" t="s">
        <v>1842</v>
      </c>
      <c r="AT636" t="s">
        <v>7021</v>
      </c>
      <c r="AU636">
        <v>1997</v>
      </c>
      <c r="AV636">
        <v>12</v>
      </c>
      <c r="AW636">
        <v>6</v>
      </c>
      <c r="AX636" t="s">
        <v>74</v>
      </c>
      <c r="AY636" t="s">
        <v>74</v>
      </c>
      <c r="AZ636" t="s">
        <v>74</v>
      </c>
      <c r="BA636" t="s">
        <v>74</v>
      </c>
      <c r="BB636">
        <v>787</v>
      </c>
      <c r="BC636">
        <v>796</v>
      </c>
      <c r="BD636" t="s">
        <v>74</v>
      </c>
      <c r="BE636" t="s">
        <v>7757</v>
      </c>
      <c r="BF636" t="str">
        <f>HYPERLINK("http://dx.doi.org/10.1029/97PA02508","http://dx.doi.org/10.1029/97PA02508")</f>
        <v>http://dx.doi.org/10.1029/97PA02508</v>
      </c>
      <c r="BG636" t="s">
        <v>74</v>
      </c>
      <c r="BH636" t="s">
        <v>74</v>
      </c>
      <c r="BI636">
        <v>10</v>
      </c>
      <c r="BJ636" t="s">
        <v>1844</v>
      </c>
      <c r="BK636" t="s">
        <v>98</v>
      </c>
      <c r="BL636" t="s">
        <v>1845</v>
      </c>
      <c r="BM636" t="s">
        <v>7758</v>
      </c>
      <c r="BN636" t="s">
        <v>74</v>
      </c>
      <c r="BO636" t="s">
        <v>100</v>
      </c>
      <c r="BP636" t="s">
        <v>74</v>
      </c>
      <c r="BQ636" t="s">
        <v>74</v>
      </c>
      <c r="BR636" t="s">
        <v>101</v>
      </c>
      <c r="BS636" t="s">
        <v>7759</v>
      </c>
      <c r="BT636" t="str">
        <f>HYPERLINK("https%3A%2F%2Fwww.webofscience.com%2Fwos%2Fwoscc%2Ffull-record%2FWOS:A1997YJ49800006","View Full Record in Web of Science")</f>
        <v>View Full Record in Web of Science</v>
      </c>
    </row>
    <row r="637" spans="1:72" x14ac:dyDescent="0.15">
      <c r="A637" t="s">
        <v>72</v>
      </c>
      <c r="B637" t="s">
        <v>7760</v>
      </c>
      <c r="C637" t="s">
        <v>74</v>
      </c>
      <c r="D637" t="s">
        <v>74</v>
      </c>
      <c r="E637" t="s">
        <v>74</v>
      </c>
      <c r="F637" t="s">
        <v>7760</v>
      </c>
      <c r="G637" t="s">
        <v>74</v>
      </c>
      <c r="H637" t="s">
        <v>74</v>
      </c>
      <c r="I637" t="s">
        <v>7761</v>
      </c>
      <c r="J637" t="s">
        <v>7762</v>
      </c>
      <c r="K637" t="s">
        <v>74</v>
      </c>
      <c r="L637" t="s">
        <v>74</v>
      </c>
      <c r="M637" t="s">
        <v>77</v>
      </c>
      <c r="N637" t="s">
        <v>78</v>
      </c>
      <c r="O637" t="s">
        <v>74</v>
      </c>
      <c r="P637" t="s">
        <v>74</v>
      </c>
      <c r="Q637" t="s">
        <v>74</v>
      </c>
      <c r="R637" t="s">
        <v>74</v>
      </c>
      <c r="S637" t="s">
        <v>74</v>
      </c>
      <c r="T637" t="s">
        <v>74</v>
      </c>
      <c r="U637" t="s">
        <v>7763</v>
      </c>
      <c r="V637" t="s">
        <v>7764</v>
      </c>
      <c r="W637" t="s">
        <v>7765</v>
      </c>
      <c r="X637" t="s">
        <v>6257</v>
      </c>
      <c r="Y637" t="s">
        <v>7766</v>
      </c>
      <c r="Z637" t="s">
        <v>74</v>
      </c>
      <c r="AA637" t="s">
        <v>74</v>
      </c>
      <c r="AB637" t="s">
        <v>74</v>
      </c>
      <c r="AC637" t="s">
        <v>74</v>
      </c>
      <c r="AD637" t="s">
        <v>74</v>
      </c>
      <c r="AE637" t="s">
        <v>74</v>
      </c>
      <c r="AF637" t="s">
        <v>74</v>
      </c>
      <c r="AG637">
        <v>24</v>
      </c>
      <c r="AH637">
        <v>18</v>
      </c>
      <c r="AI637">
        <v>18</v>
      </c>
      <c r="AJ637">
        <v>0</v>
      </c>
      <c r="AK637">
        <v>1</v>
      </c>
      <c r="AL637" t="s">
        <v>7767</v>
      </c>
      <c r="AM637" t="s">
        <v>7768</v>
      </c>
      <c r="AN637" t="s">
        <v>7769</v>
      </c>
      <c r="AO637" t="s">
        <v>7770</v>
      </c>
      <c r="AP637" t="s">
        <v>74</v>
      </c>
      <c r="AQ637" t="s">
        <v>74</v>
      </c>
      <c r="AR637" t="s">
        <v>7771</v>
      </c>
      <c r="AS637" t="s">
        <v>7772</v>
      </c>
      <c r="AT637" t="s">
        <v>7021</v>
      </c>
      <c r="AU637">
        <v>1997</v>
      </c>
      <c r="AV637">
        <v>66</v>
      </c>
      <c r="AW637">
        <v>6</v>
      </c>
      <c r="AX637" t="s">
        <v>74</v>
      </c>
      <c r="AY637" t="s">
        <v>74</v>
      </c>
      <c r="AZ637" t="s">
        <v>74</v>
      </c>
      <c r="BA637" t="s">
        <v>74</v>
      </c>
      <c r="BB637">
        <v>831</v>
      </c>
      <c r="BC637">
        <v>836</v>
      </c>
      <c r="BD637" t="s">
        <v>74</v>
      </c>
      <c r="BE637" t="s">
        <v>7773</v>
      </c>
      <c r="BF637" t="str">
        <f>HYPERLINK("http://dx.doi.org/10.1111/j.1751-1097.1997.tb03233.x","http://dx.doi.org/10.1111/j.1751-1097.1997.tb03233.x")</f>
        <v>http://dx.doi.org/10.1111/j.1751-1097.1997.tb03233.x</v>
      </c>
      <c r="BG637" t="s">
        <v>74</v>
      </c>
      <c r="BH637" t="s">
        <v>74</v>
      </c>
      <c r="BI637">
        <v>6</v>
      </c>
      <c r="BJ637" t="s">
        <v>7774</v>
      </c>
      <c r="BK637" t="s">
        <v>98</v>
      </c>
      <c r="BL637" t="s">
        <v>7774</v>
      </c>
      <c r="BM637" t="s">
        <v>7775</v>
      </c>
      <c r="BN637" t="s">
        <v>74</v>
      </c>
      <c r="BO637" t="s">
        <v>74</v>
      </c>
      <c r="BP637" t="s">
        <v>74</v>
      </c>
      <c r="BQ637" t="s">
        <v>74</v>
      </c>
      <c r="BR637" t="s">
        <v>101</v>
      </c>
      <c r="BS637" t="s">
        <v>7776</v>
      </c>
      <c r="BT637" t="str">
        <f>HYPERLINK("https%3A%2F%2Fwww.webofscience.com%2Fwos%2Fwoscc%2Ffull-record%2FWOS:000071132800018","View Full Record in Web of Science")</f>
        <v>View Full Record in Web of Science</v>
      </c>
    </row>
    <row r="638" spans="1:72" x14ac:dyDescent="0.15">
      <c r="A638" t="s">
        <v>72</v>
      </c>
      <c r="B638" t="s">
        <v>7777</v>
      </c>
      <c r="C638" t="s">
        <v>74</v>
      </c>
      <c r="D638" t="s">
        <v>74</v>
      </c>
      <c r="E638" t="s">
        <v>74</v>
      </c>
      <c r="F638" t="s">
        <v>7777</v>
      </c>
      <c r="G638" t="s">
        <v>74</v>
      </c>
      <c r="H638" t="s">
        <v>74</v>
      </c>
      <c r="I638" t="s">
        <v>7778</v>
      </c>
      <c r="J638" t="s">
        <v>888</v>
      </c>
      <c r="K638" t="s">
        <v>74</v>
      </c>
      <c r="L638" t="s">
        <v>74</v>
      </c>
      <c r="M638" t="s">
        <v>77</v>
      </c>
      <c r="N638" t="s">
        <v>78</v>
      </c>
      <c r="O638" t="s">
        <v>74</v>
      </c>
      <c r="P638" t="s">
        <v>74</v>
      </c>
      <c r="Q638" t="s">
        <v>74</v>
      </c>
      <c r="R638" t="s">
        <v>74</v>
      </c>
      <c r="S638" t="s">
        <v>74</v>
      </c>
      <c r="T638" t="s">
        <v>74</v>
      </c>
      <c r="U638" t="s">
        <v>7779</v>
      </c>
      <c r="V638" t="s">
        <v>7780</v>
      </c>
      <c r="W638" t="s">
        <v>7781</v>
      </c>
      <c r="X638" t="s">
        <v>7782</v>
      </c>
      <c r="Y638" t="s">
        <v>74</v>
      </c>
      <c r="Z638" t="s">
        <v>74</v>
      </c>
      <c r="AA638" t="s">
        <v>74</v>
      </c>
      <c r="AB638" t="s">
        <v>74</v>
      </c>
      <c r="AC638" t="s">
        <v>74</v>
      </c>
      <c r="AD638" t="s">
        <v>74</v>
      </c>
      <c r="AE638" t="s">
        <v>74</v>
      </c>
      <c r="AF638" t="s">
        <v>74</v>
      </c>
      <c r="AG638">
        <v>45</v>
      </c>
      <c r="AH638">
        <v>35</v>
      </c>
      <c r="AI638">
        <v>40</v>
      </c>
      <c r="AJ638">
        <v>0</v>
      </c>
      <c r="AK638">
        <v>3</v>
      </c>
      <c r="AL638" t="s">
        <v>897</v>
      </c>
      <c r="AM638" t="s">
        <v>244</v>
      </c>
      <c r="AN638" t="s">
        <v>7783</v>
      </c>
      <c r="AO638" t="s">
        <v>899</v>
      </c>
      <c r="AP638" t="s">
        <v>74</v>
      </c>
      <c r="AQ638" t="s">
        <v>74</v>
      </c>
      <c r="AR638" t="s">
        <v>900</v>
      </c>
      <c r="AS638" t="s">
        <v>901</v>
      </c>
      <c r="AT638" t="s">
        <v>7021</v>
      </c>
      <c r="AU638">
        <v>1997</v>
      </c>
      <c r="AV638">
        <v>18</v>
      </c>
      <c r="AW638">
        <v>6</v>
      </c>
      <c r="AX638" t="s">
        <v>74</v>
      </c>
      <c r="AY638" t="s">
        <v>74</v>
      </c>
      <c r="AZ638" t="s">
        <v>74</v>
      </c>
      <c r="BA638" t="s">
        <v>74</v>
      </c>
      <c r="BB638">
        <v>363</v>
      </c>
      <c r="BC638">
        <v>370</v>
      </c>
      <c r="BD638" t="s">
        <v>74</v>
      </c>
      <c r="BE638" t="s">
        <v>7784</v>
      </c>
      <c r="BF638" t="str">
        <f>HYPERLINK("http://dx.doi.org/10.1007/s003000050201","http://dx.doi.org/10.1007/s003000050201")</f>
        <v>http://dx.doi.org/10.1007/s003000050201</v>
      </c>
      <c r="BG638" t="s">
        <v>74</v>
      </c>
      <c r="BH638" t="s">
        <v>74</v>
      </c>
      <c r="BI638">
        <v>8</v>
      </c>
      <c r="BJ638" t="s">
        <v>903</v>
      </c>
      <c r="BK638" t="s">
        <v>98</v>
      </c>
      <c r="BL638" t="s">
        <v>904</v>
      </c>
      <c r="BM638" t="s">
        <v>7785</v>
      </c>
      <c r="BN638" t="s">
        <v>74</v>
      </c>
      <c r="BO638" t="s">
        <v>74</v>
      </c>
      <c r="BP638" t="s">
        <v>74</v>
      </c>
      <c r="BQ638" t="s">
        <v>74</v>
      </c>
      <c r="BR638" t="s">
        <v>101</v>
      </c>
      <c r="BS638" t="s">
        <v>7786</v>
      </c>
      <c r="BT638" t="str">
        <f>HYPERLINK("https%3A%2F%2Fwww.webofscience.com%2Fwos%2Fwoscc%2Ffull-record%2FWOS:A1997YJ51000001","View Full Record in Web of Science")</f>
        <v>View Full Record in Web of Science</v>
      </c>
    </row>
    <row r="639" spans="1:72" x14ac:dyDescent="0.15">
      <c r="A639" t="s">
        <v>72</v>
      </c>
      <c r="B639" t="s">
        <v>7787</v>
      </c>
      <c r="C639" t="s">
        <v>74</v>
      </c>
      <c r="D639" t="s">
        <v>74</v>
      </c>
      <c r="E639" t="s">
        <v>74</v>
      </c>
      <c r="F639" t="s">
        <v>7787</v>
      </c>
      <c r="G639" t="s">
        <v>74</v>
      </c>
      <c r="H639" t="s">
        <v>74</v>
      </c>
      <c r="I639" t="s">
        <v>7788</v>
      </c>
      <c r="J639" t="s">
        <v>888</v>
      </c>
      <c r="K639" t="s">
        <v>74</v>
      </c>
      <c r="L639" t="s">
        <v>74</v>
      </c>
      <c r="M639" t="s">
        <v>77</v>
      </c>
      <c r="N639" t="s">
        <v>78</v>
      </c>
      <c r="O639" t="s">
        <v>74</v>
      </c>
      <c r="P639" t="s">
        <v>74</v>
      </c>
      <c r="Q639" t="s">
        <v>74</v>
      </c>
      <c r="R639" t="s">
        <v>74</v>
      </c>
      <c r="S639" t="s">
        <v>74</v>
      </c>
      <c r="T639" t="s">
        <v>74</v>
      </c>
      <c r="U639" t="s">
        <v>7789</v>
      </c>
      <c r="V639" t="s">
        <v>7790</v>
      </c>
      <c r="W639" t="s">
        <v>74</v>
      </c>
      <c r="X639" t="s">
        <v>74</v>
      </c>
      <c r="Y639" t="s">
        <v>7791</v>
      </c>
      <c r="Z639" t="s">
        <v>74</v>
      </c>
      <c r="AA639" t="s">
        <v>7655</v>
      </c>
      <c r="AB639" t="s">
        <v>7656</v>
      </c>
      <c r="AC639" t="s">
        <v>74</v>
      </c>
      <c r="AD639" t="s">
        <v>74</v>
      </c>
      <c r="AE639" t="s">
        <v>74</v>
      </c>
      <c r="AF639" t="s">
        <v>74</v>
      </c>
      <c r="AG639">
        <v>38</v>
      </c>
      <c r="AH639">
        <v>47</v>
      </c>
      <c r="AI639">
        <v>52</v>
      </c>
      <c r="AJ639">
        <v>0</v>
      </c>
      <c r="AK639">
        <v>8</v>
      </c>
      <c r="AL639" t="s">
        <v>897</v>
      </c>
      <c r="AM639" t="s">
        <v>244</v>
      </c>
      <c r="AN639" t="s">
        <v>7783</v>
      </c>
      <c r="AO639" t="s">
        <v>899</v>
      </c>
      <c r="AP639" t="s">
        <v>74</v>
      </c>
      <c r="AQ639" t="s">
        <v>74</v>
      </c>
      <c r="AR639" t="s">
        <v>900</v>
      </c>
      <c r="AS639" t="s">
        <v>901</v>
      </c>
      <c r="AT639" t="s">
        <v>7021</v>
      </c>
      <c r="AU639">
        <v>1997</v>
      </c>
      <c r="AV639">
        <v>18</v>
      </c>
      <c r="AW639">
        <v>6</v>
      </c>
      <c r="AX639" t="s">
        <v>74</v>
      </c>
      <c r="AY639" t="s">
        <v>74</v>
      </c>
      <c r="AZ639" t="s">
        <v>74</v>
      </c>
      <c r="BA639" t="s">
        <v>74</v>
      </c>
      <c r="BB639">
        <v>376</v>
      </c>
      <c r="BC639">
        <v>383</v>
      </c>
      <c r="BD639" t="s">
        <v>74</v>
      </c>
      <c r="BE639" t="s">
        <v>7792</v>
      </c>
      <c r="BF639" t="str">
        <f>HYPERLINK("http://dx.doi.org/10.1007/s003000050203","http://dx.doi.org/10.1007/s003000050203")</f>
        <v>http://dx.doi.org/10.1007/s003000050203</v>
      </c>
      <c r="BG639" t="s">
        <v>74</v>
      </c>
      <c r="BH639" t="s">
        <v>74</v>
      </c>
      <c r="BI639">
        <v>8</v>
      </c>
      <c r="BJ639" t="s">
        <v>903</v>
      </c>
      <c r="BK639" t="s">
        <v>98</v>
      </c>
      <c r="BL639" t="s">
        <v>904</v>
      </c>
      <c r="BM639" t="s">
        <v>7785</v>
      </c>
      <c r="BN639" t="s">
        <v>74</v>
      </c>
      <c r="BO639" t="s">
        <v>74</v>
      </c>
      <c r="BP639" t="s">
        <v>74</v>
      </c>
      <c r="BQ639" t="s">
        <v>74</v>
      </c>
      <c r="BR639" t="s">
        <v>101</v>
      </c>
      <c r="BS639" t="s">
        <v>7793</v>
      </c>
      <c r="BT639" t="str">
        <f>HYPERLINK("https%3A%2F%2Fwww.webofscience.com%2Fwos%2Fwoscc%2Ffull-record%2FWOS:A1997YJ51000003","View Full Record in Web of Science")</f>
        <v>View Full Record in Web of Science</v>
      </c>
    </row>
    <row r="640" spans="1:72" x14ac:dyDescent="0.15">
      <c r="A640" t="s">
        <v>72</v>
      </c>
      <c r="B640" t="s">
        <v>7794</v>
      </c>
      <c r="C640" t="s">
        <v>74</v>
      </c>
      <c r="D640" t="s">
        <v>74</v>
      </c>
      <c r="E640" t="s">
        <v>74</v>
      </c>
      <c r="F640" t="s">
        <v>7794</v>
      </c>
      <c r="G640" t="s">
        <v>74</v>
      </c>
      <c r="H640" t="s">
        <v>74</v>
      </c>
      <c r="I640" t="s">
        <v>7795</v>
      </c>
      <c r="J640" t="s">
        <v>888</v>
      </c>
      <c r="K640" t="s">
        <v>74</v>
      </c>
      <c r="L640" t="s">
        <v>74</v>
      </c>
      <c r="M640" t="s">
        <v>77</v>
      </c>
      <c r="N640" t="s">
        <v>78</v>
      </c>
      <c r="O640" t="s">
        <v>74</v>
      </c>
      <c r="P640" t="s">
        <v>74</v>
      </c>
      <c r="Q640" t="s">
        <v>74</v>
      </c>
      <c r="R640" t="s">
        <v>74</v>
      </c>
      <c r="S640" t="s">
        <v>74</v>
      </c>
      <c r="T640" t="s">
        <v>74</v>
      </c>
      <c r="U640" t="s">
        <v>7796</v>
      </c>
      <c r="V640" t="s">
        <v>7797</v>
      </c>
      <c r="W640" t="s">
        <v>7798</v>
      </c>
      <c r="X640" t="s">
        <v>2628</v>
      </c>
      <c r="Y640" t="s">
        <v>7799</v>
      </c>
      <c r="Z640" t="s">
        <v>74</v>
      </c>
      <c r="AA640" t="s">
        <v>74</v>
      </c>
      <c r="AB640" t="s">
        <v>74</v>
      </c>
      <c r="AC640" t="s">
        <v>74</v>
      </c>
      <c r="AD640" t="s">
        <v>74</v>
      </c>
      <c r="AE640" t="s">
        <v>74</v>
      </c>
      <c r="AF640" t="s">
        <v>74</v>
      </c>
      <c r="AG640">
        <v>37</v>
      </c>
      <c r="AH640">
        <v>26</v>
      </c>
      <c r="AI640">
        <v>32</v>
      </c>
      <c r="AJ640">
        <v>0</v>
      </c>
      <c r="AK640">
        <v>9</v>
      </c>
      <c r="AL640" t="s">
        <v>914</v>
      </c>
      <c r="AM640" t="s">
        <v>244</v>
      </c>
      <c r="AN640" t="s">
        <v>1400</v>
      </c>
      <c r="AO640" t="s">
        <v>899</v>
      </c>
      <c r="AP640" t="s">
        <v>916</v>
      </c>
      <c r="AQ640" t="s">
        <v>74</v>
      </c>
      <c r="AR640" t="s">
        <v>900</v>
      </c>
      <c r="AS640" t="s">
        <v>901</v>
      </c>
      <c r="AT640" t="s">
        <v>7021</v>
      </c>
      <c r="AU640">
        <v>1997</v>
      </c>
      <c r="AV640">
        <v>18</v>
      </c>
      <c r="AW640">
        <v>6</v>
      </c>
      <c r="AX640" t="s">
        <v>74</v>
      </c>
      <c r="AY640" t="s">
        <v>74</v>
      </c>
      <c r="AZ640" t="s">
        <v>74</v>
      </c>
      <c r="BA640" t="s">
        <v>74</v>
      </c>
      <c r="BB640">
        <v>402</v>
      </c>
      <c r="BC640">
        <v>409</v>
      </c>
      <c r="BD640" t="s">
        <v>74</v>
      </c>
      <c r="BE640" t="s">
        <v>7800</v>
      </c>
      <c r="BF640" t="str">
        <f>HYPERLINK("http://dx.doi.org/10.1007/s003000050206","http://dx.doi.org/10.1007/s003000050206")</f>
        <v>http://dx.doi.org/10.1007/s003000050206</v>
      </c>
      <c r="BG640" t="s">
        <v>74</v>
      </c>
      <c r="BH640" t="s">
        <v>74</v>
      </c>
      <c r="BI640">
        <v>8</v>
      </c>
      <c r="BJ640" t="s">
        <v>903</v>
      </c>
      <c r="BK640" t="s">
        <v>98</v>
      </c>
      <c r="BL640" t="s">
        <v>904</v>
      </c>
      <c r="BM640" t="s">
        <v>7785</v>
      </c>
      <c r="BN640" t="s">
        <v>74</v>
      </c>
      <c r="BO640" t="s">
        <v>74</v>
      </c>
      <c r="BP640" t="s">
        <v>74</v>
      </c>
      <c r="BQ640" t="s">
        <v>74</v>
      </c>
      <c r="BR640" t="s">
        <v>101</v>
      </c>
      <c r="BS640" t="s">
        <v>7801</v>
      </c>
      <c r="BT640" t="str">
        <f>HYPERLINK("https%3A%2F%2Fwww.webofscience.com%2Fwos%2Fwoscc%2Ffull-record%2FWOS:A1997YJ51000006","View Full Record in Web of Science")</f>
        <v>View Full Record in Web of Science</v>
      </c>
    </row>
    <row r="641" spans="1:72" x14ac:dyDescent="0.15">
      <c r="A641" t="s">
        <v>72</v>
      </c>
      <c r="B641" t="s">
        <v>7802</v>
      </c>
      <c r="C641" t="s">
        <v>74</v>
      </c>
      <c r="D641" t="s">
        <v>74</v>
      </c>
      <c r="E641" t="s">
        <v>74</v>
      </c>
      <c r="F641" t="s">
        <v>7802</v>
      </c>
      <c r="G641" t="s">
        <v>74</v>
      </c>
      <c r="H641" t="s">
        <v>74</v>
      </c>
      <c r="I641" t="s">
        <v>7803</v>
      </c>
      <c r="J641" t="s">
        <v>7804</v>
      </c>
      <c r="K641" t="s">
        <v>74</v>
      </c>
      <c r="L641" t="s">
        <v>74</v>
      </c>
      <c r="M641" t="s">
        <v>77</v>
      </c>
      <c r="N641" t="s">
        <v>78</v>
      </c>
      <c r="O641" t="s">
        <v>74</v>
      </c>
      <c r="P641" t="s">
        <v>74</v>
      </c>
      <c r="Q641" t="s">
        <v>74</v>
      </c>
      <c r="R641" t="s">
        <v>74</v>
      </c>
      <c r="S641" t="s">
        <v>74</v>
      </c>
      <c r="T641" t="s">
        <v>7805</v>
      </c>
      <c r="U641" t="s">
        <v>7806</v>
      </c>
      <c r="V641" t="s">
        <v>7807</v>
      </c>
      <c r="W641" t="s">
        <v>7808</v>
      </c>
      <c r="X641" t="s">
        <v>7809</v>
      </c>
      <c r="Y641" t="s">
        <v>7810</v>
      </c>
      <c r="Z641" t="s">
        <v>74</v>
      </c>
      <c r="AA641" t="s">
        <v>74</v>
      </c>
      <c r="AB641" t="s">
        <v>74</v>
      </c>
      <c r="AC641" t="s">
        <v>74</v>
      </c>
      <c r="AD641" t="s">
        <v>74</v>
      </c>
      <c r="AE641" t="s">
        <v>74</v>
      </c>
      <c r="AF641" t="s">
        <v>74</v>
      </c>
      <c r="AG641">
        <v>15</v>
      </c>
      <c r="AH641">
        <v>3</v>
      </c>
      <c r="AI641">
        <v>3</v>
      </c>
      <c r="AJ641">
        <v>1</v>
      </c>
      <c r="AK641">
        <v>3</v>
      </c>
      <c r="AL641" t="s">
        <v>7811</v>
      </c>
      <c r="AM641" t="s">
        <v>4216</v>
      </c>
      <c r="AN641" t="s">
        <v>7812</v>
      </c>
      <c r="AO641" t="s">
        <v>7813</v>
      </c>
      <c r="AP641" t="s">
        <v>74</v>
      </c>
      <c r="AQ641" t="s">
        <v>74</v>
      </c>
      <c r="AR641" t="s">
        <v>7814</v>
      </c>
      <c r="AS641" t="s">
        <v>7815</v>
      </c>
      <c r="AT641" t="s">
        <v>7021</v>
      </c>
      <c r="AU641">
        <v>1997</v>
      </c>
      <c r="AV641">
        <v>73</v>
      </c>
      <c r="AW641">
        <v>10</v>
      </c>
      <c r="AX641" t="s">
        <v>74</v>
      </c>
      <c r="AY641" t="s">
        <v>74</v>
      </c>
      <c r="AZ641" t="s">
        <v>74</v>
      </c>
      <c r="BA641" t="s">
        <v>74</v>
      </c>
      <c r="BB641">
        <v>195</v>
      </c>
      <c r="BC641">
        <v>200</v>
      </c>
      <c r="BD641" t="s">
        <v>74</v>
      </c>
      <c r="BE641" t="s">
        <v>7816</v>
      </c>
      <c r="BF641" t="str">
        <f>HYPERLINK("http://dx.doi.org/10.2183/pjab.73.195","http://dx.doi.org/10.2183/pjab.73.195")</f>
        <v>http://dx.doi.org/10.2183/pjab.73.195</v>
      </c>
      <c r="BG641" t="s">
        <v>74</v>
      </c>
      <c r="BH641" t="s">
        <v>74</v>
      </c>
      <c r="BI641">
        <v>6</v>
      </c>
      <c r="BJ641" t="s">
        <v>186</v>
      </c>
      <c r="BK641" t="s">
        <v>98</v>
      </c>
      <c r="BL641" t="s">
        <v>187</v>
      </c>
      <c r="BM641" t="s">
        <v>7817</v>
      </c>
      <c r="BN641" t="s">
        <v>74</v>
      </c>
      <c r="BO641" t="s">
        <v>100</v>
      </c>
      <c r="BP641" t="s">
        <v>74</v>
      </c>
      <c r="BQ641" t="s">
        <v>74</v>
      </c>
      <c r="BR641" t="s">
        <v>101</v>
      </c>
      <c r="BS641" t="s">
        <v>7818</v>
      </c>
      <c r="BT641" t="str">
        <f>HYPERLINK("https%3A%2F%2Fwww.webofscience.com%2Fwos%2Fwoscc%2Ffull-record%2FWOS:000071580400001","View Full Record in Web of Science")</f>
        <v>View Full Record in Web of Science</v>
      </c>
    </row>
    <row r="642" spans="1:72" x14ac:dyDescent="0.15">
      <c r="A642" t="s">
        <v>72</v>
      </c>
      <c r="B642" t="s">
        <v>7819</v>
      </c>
      <c r="C642" t="s">
        <v>74</v>
      </c>
      <c r="D642" t="s">
        <v>74</v>
      </c>
      <c r="E642" t="s">
        <v>74</v>
      </c>
      <c r="F642" t="s">
        <v>7819</v>
      </c>
      <c r="G642" t="s">
        <v>74</v>
      </c>
      <c r="H642" t="s">
        <v>74</v>
      </c>
      <c r="I642" t="s">
        <v>7820</v>
      </c>
      <c r="J642" t="s">
        <v>7821</v>
      </c>
      <c r="K642" t="s">
        <v>74</v>
      </c>
      <c r="L642" t="s">
        <v>74</v>
      </c>
      <c r="M642" t="s">
        <v>77</v>
      </c>
      <c r="N642" t="s">
        <v>78</v>
      </c>
      <c r="O642" t="s">
        <v>74</v>
      </c>
      <c r="P642" t="s">
        <v>74</v>
      </c>
      <c r="Q642" t="s">
        <v>74</v>
      </c>
      <c r="R642" t="s">
        <v>74</v>
      </c>
      <c r="S642" t="s">
        <v>74</v>
      </c>
      <c r="T642" t="s">
        <v>7822</v>
      </c>
      <c r="U642" t="s">
        <v>74</v>
      </c>
      <c r="V642" t="s">
        <v>7823</v>
      </c>
      <c r="W642" t="s">
        <v>74</v>
      </c>
      <c r="X642" t="s">
        <v>74</v>
      </c>
      <c r="Y642" t="s">
        <v>7824</v>
      </c>
      <c r="Z642" t="s">
        <v>74</v>
      </c>
      <c r="AA642" t="s">
        <v>74</v>
      </c>
      <c r="AB642" t="s">
        <v>74</v>
      </c>
      <c r="AC642" t="s">
        <v>74</v>
      </c>
      <c r="AD642" t="s">
        <v>74</v>
      </c>
      <c r="AE642" t="s">
        <v>74</v>
      </c>
      <c r="AF642" t="s">
        <v>74</v>
      </c>
      <c r="AG642">
        <v>14</v>
      </c>
      <c r="AH642">
        <v>162</v>
      </c>
      <c r="AI642">
        <v>224</v>
      </c>
      <c r="AJ642">
        <v>1</v>
      </c>
      <c r="AK642">
        <v>47</v>
      </c>
      <c r="AL642" t="s">
        <v>7825</v>
      </c>
      <c r="AM642" t="s">
        <v>7826</v>
      </c>
      <c r="AN642" t="s">
        <v>7827</v>
      </c>
      <c r="AO642" t="s">
        <v>7828</v>
      </c>
      <c r="AP642" t="s">
        <v>74</v>
      </c>
      <c r="AQ642" t="s">
        <v>74</v>
      </c>
      <c r="AR642" t="s">
        <v>7829</v>
      </c>
      <c r="AS642" t="s">
        <v>7830</v>
      </c>
      <c r="AT642" t="s">
        <v>7021</v>
      </c>
      <c r="AU642">
        <v>1997</v>
      </c>
      <c r="AV642">
        <v>40</v>
      </c>
      <c r="AW642">
        <v>6</v>
      </c>
      <c r="AX642" t="s">
        <v>74</v>
      </c>
      <c r="AY642" t="s">
        <v>74</v>
      </c>
      <c r="AZ642" t="s">
        <v>74</v>
      </c>
      <c r="BA642" t="s">
        <v>74</v>
      </c>
      <c r="BB642">
        <v>662</v>
      </c>
      <c r="BC642">
        <v>668</v>
      </c>
      <c r="BD642" t="s">
        <v>74</v>
      </c>
      <c r="BE642" t="s">
        <v>7831</v>
      </c>
      <c r="BF642" t="str">
        <f>HYPERLINK("http://dx.doi.org/10.1007/BF02877697","http://dx.doi.org/10.1007/BF02877697")</f>
        <v>http://dx.doi.org/10.1007/BF02877697</v>
      </c>
      <c r="BG642" t="s">
        <v>74</v>
      </c>
      <c r="BH642" t="s">
        <v>74</v>
      </c>
      <c r="BI642">
        <v>7</v>
      </c>
      <c r="BJ642" t="s">
        <v>769</v>
      </c>
      <c r="BK642" t="s">
        <v>98</v>
      </c>
      <c r="BL642" t="s">
        <v>471</v>
      </c>
      <c r="BM642" t="s">
        <v>7832</v>
      </c>
      <c r="BN642" t="s">
        <v>74</v>
      </c>
      <c r="BO642" t="s">
        <v>74</v>
      </c>
      <c r="BP642" t="s">
        <v>74</v>
      </c>
      <c r="BQ642" t="s">
        <v>74</v>
      </c>
      <c r="BR642" t="s">
        <v>101</v>
      </c>
      <c r="BS642" t="s">
        <v>7833</v>
      </c>
      <c r="BT642" t="str">
        <f>HYPERLINK("https%3A%2F%2Fwww.webofscience.com%2Fwos%2Fwoscc%2Ffull-record%2FWOS:A1997YK88400015","View Full Record in Web of Science")</f>
        <v>View Full Record in Web of Science</v>
      </c>
    </row>
    <row r="643" spans="1:72" x14ac:dyDescent="0.15">
      <c r="A643" t="s">
        <v>72</v>
      </c>
      <c r="B643" t="s">
        <v>7834</v>
      </c>
      <c r="C643" t="s">
        <v>74</v>
      </c>
      <c r="D643" t="s">
        <v>74</v>
      </c>
      <c r="E643" t="s">
        <v>74</v>
      </c>
      <c r="F643" t="s">
        <v>7834</v>
      </c>
      <c r="G643" t="s">
        <v>74</v>
      </c>
      <c r="H643" t="s">
        <v>74</v>
      </c>
      <c r="I643" t="s">
        <v>7835</v>
      </c>
      <c r="J643" t="s">
        <v>7836</v>
      </c>
      <c r="K643" t="s">
        <v>74</v>
      </c>
      <c r="L643" t="s">
        <v>74</v>
      </c>
      <c r="M643" t="s">
        <v>77</v>
      </c>
      <c r="N643" t="s">
        <v>379</v>
      </c>
      <c r="O643" t="s">
        <v>7837</v>
      </c>
      <c r="P643" t="s">
        <v>7838</v>
      </c>
      <c r="Q643" t="s">
        <v>7839</v>
      </c>
      <c r="R643" t="s">
        <v>74</v>
      </c>
      <c r="S643" t="s">
        <v>7840</v>
      </c>
      <c r="T643" t="s">
        <v>74</v>
      </c>
      <c r="U643" t="s">
        <v>7841</v>
      </c>
      <c r="V643" t="s">
        <v>7842</v>
      </c>
      <c r="W643" t="s">
        <v>7843</v>
      </c>
      <c r="X643" t="s">
        <v>7844</v>
      </c>
      <c r="Y643" t="s">
        <v>7845</v>
      </c>
      <c r="Z643" t="s">
        <v>74</v>
      </c>
      <c r="AA643" t="s">
        <v>74</v>
      </c>
      <c r="AB643" t="s">
        <v>74</v>
      </c>
      <c r="AC643" t="s">
        <v>74</v>
      </c>
      <c r="AD643" t="s">
        <v>74</v>
      </c>
      <c r="AE643" t="s">
        <v>74</v>
      </c>
      <c r="AF643" t="s">
        <v>74</v>
      </c>
      <c r="AG643">
        <v>75</v>
      </c>
      <c r="AH643">
        <v>117</v>
      </c>
      <c r="AI643">
        <v>128</v>
      </c>
      <c r="AJ643">
        <v>1</v>
      </c>
      <c r="AK643">
        <v>10</v>
      </c>
      <c r="AL643" t="s">
        <v>7846</v>
      </c>
      <c r="AM643" t="s">
        <v>7847</v>
      </c>
      <c r="AN643" t="s">
        <v>7848</v>
      </c>
      <c r="AO643" t="s">
        <v>7849</v>
      </c>
      <c r="AP643" t="s">
        <v>74</v>
      </c>
      <c r="AQ643" t="s">
        <v>74</v>
      </c>
      <c r="AR643" t="s">
        <v>7850</v>
      </c>
      <c r="AS643" t="s">
        <v>7851</v>
      </c>
      <c r="AT643" t="s">
        <v>7021</v>
      </c>
      <c r="AU643">
        <v>1997</v>
      </c>
      <c r="AV643">
        <v>100</v>
      </c>
      <c r="AW643">
        <v>4</v>
      </c>
      <c r="AX643" t="s">
        <v>74</v>
      </c>
      <c r="AY643" t="s">
        <v>74</v>
      </c>
      <c r="AZ643" t="s">
        <v>74</v>
      </c>
      <c r="BA643" t="s">
        <v>74</v>
      </c>
      <c r="BB643">
        <v>283</v>
      </c>
      <c r="BC643">
        <v>290</v>
      </c>
      <c r="BD643" t="s">
        <v>74</v>
      </c>
      <c r="BE643" t="s">
        <v>74</v>
      </c>
      <c r="BF643" t="s">
        <v>74</v>
      </c>
      <c r="BG643" t="s">
        <v>74</v>
      </c>
      <c r="BH643" t="s">
        <v>74</v>
      </c>
      <c r="BI643">
        <v>8</v>
      </c>
      <c r="BJ643" t="s">
        <v>471</v>
      </c>
      <c r="BK643" t="s">
        <v>397</v>
      </c>
      <c r="BL643" t="s">
        <v>471</v>
      </c>
      <c r="BM643" t="s">
        <v>7852</v>
      </c>
      <c r="BN643" t="s">
        <v>74</v>
      </c>
      <c r="BO643" t="s">
        <v>74</v>
      </c>
      <c r="BP643" t="s">
        <v>74</v>
      </c>
      <c r="BQ643" t="s">
        <v>74</v>
      </c>
      <c r="BR643" t="s">
        <v>101</v>
      </c>
      <c r="BS643" t="s">
        <v>7853</v>
      </c>
      <c r="BT643" t="str">
        <f>HYPERLINK("https%3A%2F%2Fwww.webofscience.com%2Fwos%2Fwoscc%2Ffull-record%2FWOS:000072997400003","View Full Record in Web of Science")</f>
        <v>View Full Record in Web of Science</v>
      </c>
    </row>
    <row r="644" spans="1:72" x14ac:dyDescent="0.15">
      <c r="A644" t="s">
        <v>72</v>
      </c>
      <c r="B644" t="s">
        <v>7854</v>
      </c>
      <c r="C644" t="s">
        <v>74</v>
      </c>
      <c r="D644" t="s">
        <v>74</v>
      </c>
      <c r="E644" t="s">
        <v>74</v>
      </c>
      <c r="F644" t="s">
        <v>7855</v>
      </c>
      <c r="G644" t="s">
        <v>74</v>
      </c>
      <c r="H644" t="s">
        <v>74</v>
      </c>
      <c r="I644" t="s">
        <v>7856</v>
      </c>
      <c r="J644" t="s">
        <v>7857</v>
      </c>
      <c r="K644" t="s">
        <v>74</v>
      </c>
      <c r="L644" t="s">
        <v>74</v>
      </c>
      <c r="M644" t="s">
        <v>77</v>
      </c>
      <c r="N644" t="s">
        <v>78</v>
      </c>
      <c r="O644" t="s">
        <v>74</v>
      </c>
      <c r="P644" t="s">
        <v>74</v>
      </c>
      <c r="Q644" t="s">
        <v>74</v>
      </c>
      <c r="R644" t="s">
        <v>74</v>
      </c>
      <c r="S644" t="s">
        <v>74</v>
      </c>
      <c r="T644" t="s">
        <v>7858</v>
      </c>
      <c r="U644" t="s">
        <v>7859</v>
      </c>
      <c r="V644" t="s">
        <v>7860</v>
      </c>
      <c r="W644" t="s">
        <v>7861</v>
      </c>
      <c r="X644" t="s">
        <v>7862</v>
      </c>
      <c r="Y644" t="s">
        <v>7863</v>
      </c>
      <c r="Z644" t="s">
        <v>7864</v>
      </c>
      <c r="AA644" t="s">
        <v>7865</v>
      </c>
      <c r="AB644" t="s">
        <v>7866</v>
      </c>
      <c r="AC644" t="s">
        <v>7867</v>
      </c>
      <c r="AD644" t="s">
        <v>7868</v>
      </c>
      <c r="AE644" t="s">
        <v>7869</v>
      </c>
      <c r="AF644" t="s">
        <v>74</v>
      </c>
      <c r="AG644">
        <v>56</v>
      </c>
      <c r="AH644">
        <v>1</v>
      </c>
      <c r="AI644">
        <v>1</v>
      </c>
      <c r="AJ644">
        <v>0</v>
      </c>
      <c r="AK644">
        <v>2</v>
      </c>
      <c r="AL644" t="s">
        <v>7870</v>
      </c>
      <c r="AM644" t="s">
        <v>7871</v>
      </c>
      <c r="AN644" t="s">
        <v>7872</v>
      </c>
      <c r="AO644" t="s">
        <v>7873</v>
      </c>
      <c r="AP644" t="s">
        <v>74</v>
      </c>
      <c r="AQ644" t="s">
        <v>74</v>
      </c>
      <c r="AR644" t="s">
        <v>7874</v>
      </c>
      <c r="AS644" t="s">
        <v>7875</v>
      </c>
      <c r="AT644" t="s">
        <v>7021</v>
      </c>
      <c r="AU644">
        <v>1997</v>
      </c>
      <c r="AV644">
        <v>47</v>
      </c>
      <c r="AW644">
        <v>4</v>
      </c>
      <c r="AX644" t="s">
        <v>74</v>
      </c>
      <c r="AY644" t="s">
        <v>74</v>
      </c>
      <c r="AZ644" t="s">
        <v>74</v>
      </c>
      <c r="BA644" t="s">
        <v>74</v>
      </c>
      <c r="BB644">
        <v>381</v>
      </c>
      <c r="BC644">
        <v>386</v>
      </c>
      <c r="BD644" t="s">
        <v>74</v>
      </c>
      <c r="BE644" t="s">
        <v>74</v>
      </c>
      <c r="BF644" t="s">
        <v>74</v>
      </c>
      <c r="BG644" t="s">
        <v>74</v>
      </c>
      <c r="BH644" t="s">
        <v>74</v>
      </c>
      <c r="BI644">
        <v>6</v>
      </c>
      <c r="BJ644" t="s">
        <v>7876</v>
      </c>
      <c r="BK644" t="s">
        <v>98</v>
      </c>
      <c r="BL644" t="s">
        <v>7877</v>
      </c>
      <c r="BM644" t="s">
        <v>7878</v>
      </c>
      <c r="BN644" t="s">
        <v>74</v>
      </c>
      <c r="BO644" t="s">
        <v>74</v>
      </c>
      <c r="BP644" t="s">
        <v>74</v>
      </c>
      <c r="BQ644" t="s">
        <v>74</v>
      </c>
      <c r="BR644" t="s">
        <v>101</v>
      </c>
      <c r="BS644" t="s">
        <v>7879</v>
      </c>
      <c r="BT644" t="str">
        <f>HYPERLINK("https%3A%2F%2Fwww.webofscience.com%2Fwos%2Fwoscc%2Ffull-record%2FWOS:000208258200014","View Full Record in Web of Science")</f>
        <v>View Full Record in Web of Science</v>
      </c>
    </row>
    <row r="645" spans="1:72" x14ac:dyDescent="0.15">
      <c r="A645" t="s">
        <v>72</v>
      </c>
      <c r="B645" t="s">
        <v>7880</v>
      </c>
      <c r="C645" t="s">
        <v>74</v>
      </c>
      <c r="D645" t="s">
        <v>74</v>
      </c>
      <c r="E645" t="s">
        <v>74</v>
      </c>
      <c r="F645" t="s">
        <v>7881</v>
      </c>
      <c r="G645" t="s">
        <v>74</v>
      </c>
      <c r="H645" t="s">
        <v>74</v>
      </c>
      <c r="I645" t="s">
        <v>7882</v>
      </c>
      <c r="J645" t="s">
        <v>7857</v>
      </c>
      <c r="K645" t="s">
        <v>74</v>
      </c>
      <c r="L645" t="s">
        <v>74</v>
      </c>
      <c r="M645" t="s">
        <v>77</v>
      </c>
      <c r="N645" t="s">
        <v>78</v>
      </c>
      <c r="O645" t="s">
        <v>74</v>
      </c>
      <c r="P645" t="s">
        <v>74</v>
      </c>
      <c r="Q645" t="s">
        <v>74</v>
      </c>
      <c r="R645" t="s">
        <v>74</v>
      </c>
      <c r="S645" t="s">
        <v>74</v>
      </c>
      <c r="T645" t="s">
        <v>7883</v>
      </c>
      <c r="U645" t="s">
        <v>74</v>
      </c>
      <c r="V645" t="s">
        <v>7884</v>
      </c>
      <c r="W645" t="s">
        <v>7885</v>
      </c>
      <c r="X645" t="s">
        <v>5543</v>
      </c>
      <c r="Y645" t="s">
        <v>7886</v>
      </c>
      <c r="Z645" t="s">
        <v>74</v>
      </c>
      <c r="AA645" t="s">
        <v>7887</v>
      </c>
      <c r="AB645" t="s">
        <v>7888</v>
      </c>
      <c r="AC645" t="s">
        <v>74</v>
      </c>
      <c r="AD645" t="s">
        <v>74</v>
      </c>
      <c r="AE645" t="s">
        <v>74</v>
      </c>
      <c r="AF645" t="s">
        <v>74</v>
      </c>
      <c r="AG645">
        <v>10</v>
      </c>
      <c r="AH645">
        <v>0</v>
      </c>
      <c r="AI645">
        <v>0</v>
      </c>
      <c r="AJ645">
        <v>0</v>
      </c>
      <c r="AK645">
        <v>1</v>
      </c>
      <c r="AL645" t="s">
        <v>7870</v>
      </c>
      <c r="AM645" t="s">
        <v>7871</v>
      </c>
      <c r="AN645" t="s">
        <v>7872</v>
      </c>
      <c r="AO645" t="s">
        <v>7873</v>
      </c>
      <c r="AP645" t="s">
        <v>74</v>
      </c>
      <c r="AQ645" t="s">
        <v>74</v>
      </c>
      <c r="AR645" t="s">
        <v>7874</v>
      </c>
      <c r="AS645" t="s">
        <v>7875</v>
      </c>
      <c r="AT645" t="s">
        <v>7021</v>
      </c>
      <c r="AU645">
        <v>1997</v>
      </c>
      <c r="AV645">
        <v>47</v>
      </c>
      <c r="AW645">
        <v>4</v>
      </c>
      <c r="AX645" t="s">
        <v>74</v>
      </c>
      <c r="AY645" t="s">
        <v>74</v>
      </c>
      <c r="AZ645" t="s">
        <v>74</v>
      </c>
      <c r="BA645" t="s">
        <v>74</v>
      </c>
      <c r="BB645">
        <v>395</v>
      </c>
      <c r="BC645">
        <v>396</v>
      </c>
      <c r="BD645" t="s">
        <v>74</v>
      </c>
      <c r="BE645" t="s">
        <v>74</v>
      </c>
      <c r="BF645" t="s">
        <v>74</v>
      </c>
      <c r="BG645" t="s">
        <v>74</v>
      </c>
      <c r="BH645" t="s">
        <v>74</v>
      </c>
      <c r="BI645">
        <v>2</v>
      </c>
      <c r="BJ645" t="s">
        <v>7876</v>
      </c>
      <c r="BK645" t="s">
        <v>98</v>
      </c>
      <c r="BL645" t="s">
        <v>7877</v>
      </c>
      <c r="BM645" t="s">
        <v>7878</v>
      </c>
      <c r="BN645" t="s">
        <v>74</v>
      </c>
      <c r="BO645" t="s">
        <v>74</v>
      </c>
      <c r="BP645" t="s">
        <v>74</v>
      </c>
      <c r="BQ645" t="s">
        <v>74</v>
      </c>
      <c r="BR645" t="s">
        <v>101</v>
      </c>
      <c r="BS645" t="s">
        <v>7889</v>
      </c>
      <c r="BT645" t="str">
        <f>HYPERLINK("https%3A%2F%2Fwww.webofscience.com%2Fwos%2Fwoscc%2Ffull-record%2FWOS:000208258200016","View Full Record in Web of Science")</f>
        <v>View Full Record in Web of Science</v>
      </c>
    </row>
    <row r="646" spans="1:72" x14ac:dyDescent="0.15">
      <c r="A646" t="s">
        <v>72</v>
      </c>
      <c r="B646" t="s">
        <v>7890</v>
      </c>
      <c r="C646" t="s">
        <v>74</v>
      </c>
      <c r="D646" t="s">
        <v>74</v>
      </c>
      <c r="E646" t="s">
        <v>74</v>
      </c>
      <c r="F646" t="s">
        <v>7890</v>
      </c>
      <c r="G646" t="s">
        <v>74</v>
      </c>
      <c r="H646" t="s">
        <v>74</v>
      </c>
      <c r="I646" t="s">
        <v>7891</v>
      </c>
      <c r="J646" t="s">
        <v>76</v>
      </c>
      <c r="K646" t="s">
        <v>74</v>
      </c>
      <c r="L646" t="s">
        <v>74</v>
      </c>
      <c r="M646" t="s">
        <v>77</v>
      </c>
      <c r="N646" t="s">
        <v>212</v>
      </c>
      <c r="O646" t="s">
        <v>74</v>
      </c>
      <c r="P646" t="s">
        <v>74</v>
      </c>
      <c r="Q646" t="s">
        <v>74</v>
      </c>
      <c r="R646" t="s">
        <v>74</v>
      </c>
      <c r="S646" t="s">
        <v>74</v>
      </c>
      <c r="T646" t="s">
        <v>74</v>
      </c>
      <c r="U646" t="s">
        <v>74</v>
      </c>
      <c r="V646" t="s">
        <v>74</v>
      </c>
      <c r="W646" t="s">
        <v>7892</v>
      </c>
      <c r="X646" t="s">
        <v>7893</v>
      </c>
      <c r="Y646" t="s">
        <v>7894</v>
      </c>
      <c r="Z646" t="s">
        <v>74</v>
      </c>
      <c r="AA646" t="s">
        <v>3356</v>
      </c>
      <c r="AB646" t="s">
        <v>74</v>
      </c>
      <c r="AC646" t="s">
        <v>74</v>
      </c>
      <c r="AD646" t="s">
        <v>74</v>
      </c>
      <c r="AE646" t="s">
        <v>74</v>
      </c>
      <c r="AF646" t="s">
        <v>74</v>
      </c>
      <c r="AG646">
        <v>0</v>
      </c>
      <c r="AH646">
        <v>25</v>
      </c>
      <c r="AI646">
        <v>26</v>
      </c>
      <c r="AJ646">
        <v>0</v>
      </c>
      <c r="AK646">
        <v>0</v>
      </c>
      <c r="AL646" t="s">
        <v>87</v>
      </c>
      <c r="AM646" t="s">
        <v>88</v>
      </c>
      <c r="AN646" t="s">
        <v>7533</v>
      </c>
      <c r="AO646" t="s">
        <v>74</v>
      </c>
      <c r="AP646" t="s">
        <v>74</v>
      </c>
      <c r="AQ646" t="s">
        <v>74</v>
      </c>
      <c r="AR646" t="s">
        <v>92</v>
      </c>
      <c r="AS646" t="s">
        <v>93</v>
      </c>
      <c r="AT646" t="s">
        <v>7895</v>
      </c>
      <c r="AU646">
        <v>1997</v>
      </c>
      <c r="AV646">
        <v>102</v>
      </c>
      <c r="AW646" t="s">
        <v>7896</v>
      </c>
      <c r="AX646" t="s">
        <v>74</v>
      </c>
      <c r="AY646" t="s">
        <v>74</v>
      </c>
      <c r="AZ646" t="s">
        <v>74</v>
      </c>
      <c r="BA646" t="s">
        <v>74</v>
      </c>
      <c r="BB646">
        <v>26315</v>
      </c>
      <c r="BC646">
        <v>26316</v>
      </c>
      <c r="BD646" t="s">
        <v>74</v>
      </c>
      <c r="BE646" t="s">
        <v>7897</v>
      </c>
      <c r="BF646" t="str">
        <f>HYPERLINK("http://dx.doi.org/10.1029/97JC02835","http://dx.doi.org/10.1029/97JC02835")</f>
        <v>http://dx.doi.org/10.1029/97JC02835</v>
      </c>
      <c r="BG646" t="s">
        <v>74</v>
      </c>
      <c r="BH646" t="s">
        <v>74</v>
      </c>
      <c r="BI646">
        <v>2</v>
      </c>
      <c r="BJ646" t="s">
        <v>97</v>
      </c>
      <c r="BK646" t="s">
        <v>98</v>
      </c>
      <c r="BL646" t="s">
        <v>97</v>
      </c>
      <c r="BM646" t="s">
        <v>7898</v>
      </c>
      <c r="BN646" t="s">
        <v>74</v>
      </c>
      <c r="BO646" t="s">
        <v>100</v>
      </c>
      <c r="BP646" t="s">
        <v>74</v>
      </c>
      <c r="BQ646" t="s">
        <v>74</v>
      </c>
      <c r="BR646" t="s">
        <v>101</v>
      </c>
      <c r="BS646" t="s">
        <v>7899</v>
      </c>
      <c r="BT646" t="str">
        <f>HYPERLINK("https%3A%2F%2Fwww.webofscience.com%2Fwos%2Fwoscc%2Ffull-record%2FWOS:A1997YJ67100001","View Full Record in Web of Science")</f>
        <v>View Full Record in Web of Science</v>
      </c>
    </row>
    <row r="647" spans="1:72" x14ac:dyDescent="0.15">
      <c r="A647" t="s">
        <v>72</v>
      </c>
      <c r="B647" t="s">
        <v>7900</v>
      </c>
      <c r="C647" t="s">
        <v>74</v>
      </c>
      <c r="D647" t="s">
        <v>74</v>
      </c>
      <c r="E647" t="s">
        <v>74</v>
      </c>
      <c r="F647" t="s">
        <v>7900</v>
      </c>
      <c r="G647" t="s">
        <v>74</v>
      </c>
      <c r="H647" t="s">
        <v>74</v>
      </c>
      <c r="I647" t="s">
        <v>7901</v>
      </c>
      <c r="J647" t="s">
        <v>76</v>
      </c>
      <c r="K647" t="s">
        <v>74</v>
      </c>
      <c r="L647" t="s">
        <v>74</v>
      </c>
      <c r="M647" t="s">
        <v>77</v>
      </c>
      <c r="N647" t="s">
        <v>78</v>
      </c>
      <c r="O647" t="s">
        <v>74</v>
      </c>
      <c r="P647" t="s">
        <v>74</v>
      </c>
      <c r="Q647" t="s">
        <v>74</v>
      </c>
      <c r="R647" t="s">
        <v>74</v>
      </c>
      <c r="S647" t="s">
        <v>74</v>
      </c>
      <c r="T647" t="s">
        <v>74</v>
      </c>
      <c r="U647" t="s">
        <v>7902</v>
      </c>
      <c r="V647" t="s">
        <v>7903</v>
      </c>
      <c r="W647" t="s">
        <v>7904</v>
      </c>
      <c r="X647" t="s">
        <v>7905</v>
      </c>
      <c r="Y647" t="s">
        <v>7906</v>
      </c>
      <c r="Z647" t="s">
        <v>74</v>
      </c>
      <c r="AA647" t="s">
        <v>7907</v>
      </c>
      <c r="AB647" t="s">
        <v>7908</v>
      </c>
      <c r="AC647" t="s">
        <v>74</v>
      </c>
      <c r="AD647" t="s">
        <v>74</v>
      </c>
      <c r="AE647" t="s">
        <v>74</v>
      </c>
      <c r="AF647" t="s">
        <v>74</v>
      </c>
      <c r="AG647">
        <v>42</v>
      </c>
      <c r="AH647">
        <v>23</v>
      </c>
      <c r="AI647">
        <v>26</v>
      </c>
      <c r="AJ647">
        <v>0</v>
      </c>
      <c r="AK647">
        <v>10</v>
      </c>
      <c r="AL647" t="s">
        <v>87</v>
      </c>
      <c r="AM647" t="s">
        <v>88</v>
      </c>
      <c r="AN647" t="s">
        <v>89</v>
      </c>
      <c r="AO647" t="s">
        <v>90</v>
      </c>
      <c r="AP647" t="s">
        <v>91</v>
      </c>
      <c r="AQ647" t="s">
        <v>74</v>
      </c>
      <c r="AR647" t="s">
        <v>92</v>
      </c>
      <c r="AS647" t="s">
        <v>93</v>
      </c>
      <c r="AT647" t="s">
        <v>7895</v>
      </c>
      <c r="AU647">
        <v>1997</v>
      </c>
      <c r="AV647">
        <v>102</v>
      </c>
      <c r="AW647" t="s">
        <v>7896</v>
      </c>
      <c r="AX647" t="s">
        <v>74</v>
      </c>
      <c r="AY647" t="s">
        <v>74</v>
      </c>
      <c r="AZ647" t="s">
        <v>74</v>
      </c>
      <c r="BA647" t="s">
        <v>74</v>
      </c>
      <c r="BB647">
        <v>26325</v>
      </c>
      <c r="BC647">
        <v>26332</v>
      </c>
      <c r="BD647" t="s">
        <v>74</v>
      </c>
      <c r="BE647" t="s">
        <v>7909</v>
      </c>
      <c r="BF647" t="str">
        <f>HYPERLINK("http://dx.doi.org/10.1029/96JC02223","http://dx.doi.org/10.1029/96JC02223")</f>
        <v>http://dx.doi.org/10.1029/96JC02223</v>
      </c>
      <c r="BG647" t="s">
        <v>74</v>
      </c>
      <c r="BH647" t="s">
        <v>74</v>
      </c>
      <c r="BI647">
        <v>8</v>
      </c>
      <c r="BJ647" t="s">
        <v>97</v>
      </c>
      <c r="BK647" t="s">
        <v>98</v>
      </c>
      <c r="BL647" t="s">
        <v>97</v>
      </c>
      <c r="BM647" t="s">
        <v>7898</v>
      </c>
      <c r="BN647" t="s">
        <v>74</v>
      </c>
      <c r="BO647" t="s">
        <v>100</v>
      </c>
      <c r="BP647" t="s">
        <v>74</v>
      </c>
      <c r="BQ647" t="s">
        <v>74</v>
      </c>
      <c r="BR647" t="s">
        <v>101</v>
      </c>
      <c r="BS647" t="s">
        <v>7910</v>
      </c>
      <c r="BT647" t="str">
        <f>HYPERLINK("https%3A%2F%2Fwww.webofscience.com%2Fwos%2Fwoscc%2Ffull-record%2FWOS:A1997YJ67100003","View Full Record in Web of Science")</f>
        <v>View Full Record in Web of Science</v>
      </c>
    </row>
    <row r="648" spans="1:72" x14ac:dyDescent="0.15">
      <c r="A648" t="s">
        <v>72</v>
      </c>
      <c r="B648" t="s">
        <v>7911</v>
      </c>
      <c r="C648" t="s">
        <v>74</v>
      </c>
      <c r="D648" t="s">
        <v>74</v>
      </c>
      <c r="E648" t="s">
        <v>74</v>
      </c>
      <c r="F648" t="s">
        <v>7911</v>
      </c>
      <c r="G648" t="s">
        <v>74</v>
      </c>
      <c r="H648" t="s">
        <v>74</v>
      </c>
      <c r="I648" t="s">
        <v>7912</v>
      </c>
      <c r="J648" t="s">
        <v>76</v>
      </c>
      <c r="K648" t="s">
        <v>74</v>
      </c>
      <c r="L648" t="s">
        <v>74</v>
      </c>
      <c r="M648" t="s">
        <v>77</v>
      </c>
      <c r="N648" t="s">
        <v>78</v>
      </c>
      <c r="O648" t="s">
        <v>74</v>
      </c>
      <c r="P648" t="s">
        <v>74</v>
      </c>
      <c r="Q648" t="s">
        <v>74</v>
      </c>
      <c r="R648" t="s">
        <v>74</v>
      </c>
      <c r="S648" t="s">
        <v>74</v>
      </c>
      <c r="T648" t="s">
        <v>74</v>
      </c>
      <c r="U648" t="s">
        <v>7913</v>
      </c>
      <c r="V648" t="s">
        <v>7914</v>
      </c>
      <c r="W648" t="s">
        <v>7915</v>
      </c>
      <c r="X648" t="s">
        <v>7916</v>
      </c>
      <c r="Y648" t="s">
        <v>7917</v>
      </c>
      <c r="Z648" t="s">
        <v>74</v>
      </c>
      <c r="AA648" t="s">
        <v>3356</v>
      </c>
      <c r="AB648" t="s">
        <v>74</v>
      </c>
      <c r="AC648" t="s">
        <v>74</v>
      </c>
      <c r="AD648" t="s">
        <v>74</v>
      </c>
      <c r="AE648" t="s">
        <v>74</v>
      </c>
      <c r="AF648" t="s">
        <v>74</v>
      </c>
      <c r="AG648">
        <v>100</v>
      </c>
      <c r="AH648">
        <v>50</v>
      </c>
      <c r="AI648">
        <v>58</v>
      </c>
      <c r="AJ648">
        <v>1</v>
      </c>
      <c r="AK648">
        <v>13</v>
      </c>
      <c r="AL648" t="s">
        <v>87</v>
      </c>
      <c r="AM648" t="s">
        <v>88</v>
      </c>
      <c r="AN648" t="s">
        <v>7533</v>
      </c>
      <c r="AO648" t="s">
        <v>74</v>
      </c>
      <c r="AP648" t="s">
        <v>74</v>
      </c>
      <c r="AQ648" t="s">
        <v>74</v>
      </c>
      <c r="AR648" t="s">
        <v>92</v>
      </c>
      <c r="AS648" t="s">
        <v>93</v>
      </c>
      <c r="AT648" t="s">
        <v>7895</v>
      </c>
      <c r="AU648">
        <v>1997</v>
      </c>
      <c r="AV648">
        <v>102</v>
      </c>
      <c r="AW648" t="s">
        <v>7896</v>
      </c>
      <c r="AX648" t="s">
        <v>74</v>
      </c>
      <c r="AY648" t="s">
        <v>74</v>
      </c>
      <c r="AZ648" t="s">
        <v>74</v>
      </c>
      <c r="BA648" t="s">
        <v>74</v>
      </c>
      <c r="BB648">
        <v>26441</v>
      </c>
      <c r="BC648">
        <v>26454</v>
      </c>
      <c r="BD648" t="s">
        <v>74</v>
      </c>
      <c r="BE648" t="s">
        <v>74</v>
      </c>
      <c r="BF648" t="s">
        <v>74</v>
      </c>
      <c r="BG648" t="s">
        <v>74</v>
      </c>
      <c r="BH648" t="s">
        <v>74</v>
      </c>
      <c r="BI648">
        <v>14</v>
      </c>
      <c r="BJ648" t="s">
        <v>97</v>
      </c>
      <c r="BK648" t="s">
        <v>98</v>
      </c>
      <c r="BL648" t="s">
        <v>97</v>
      </c>
      <c r="BM648" t="s">
        <v>7898</v>
      </c>
      <c r="BN648" t="s">
        <v>74</v>
      </c>
      <c r="BO648" t="s">
        <v>7918</v>
      </c>
      <c r="BP648" t="s">
        <v>74</v>
      </c>
      <c r="BQ648" t="s">
        <v>74</v>
      </c>
      <c r="BR648" t="s">
        <v>101</v>
      </c>
      <c r="BS648" t="s">
        <v>7919</v>
      </c>
      <c r="BT648" t="str">
        <f>HYPERLINK("https%3A%2F%2Fwww.webofscience.com%2Fwos%2Fwoscc%2Ffull-record%2FWOS:A1997YJ67100011","View Full Record in Web of Science")</f>
        <v>View Full Record in Web of Science</v>
      </c>
    </row>
    <row r="649" spans="1:72" x14ac:dyDescent="0.15">
      <c r="A649" t="s">
        <v>72</v>
      </c>
      <c r="B649" t="s">
        <v>7920</v>
      </c>
      <c r="C649" t="s">
        <v>74</v>
      </c>
      <c r="D649" t="s">
        <v>74</v>
      </c>
      <c r="E649" t="s">
        <v>74</v>
      </c>
      <c r="F649" t="s">
        <v>7920</v>
      </c>
      <c r="G649" t="s">
        <v>74</v>
      </c>
      <c r="H649" t="s">
        <v>74</v>
      </c>
      <c r="I649" t="s">
        <v>7921</v>
      </c>
      <c r="J649" t="s">
        <v>76</v>
      </c>
      <c r="K649" t="s">
        <v>74</v>
      </c>
      <c r="L649" t="s">
        <v>74</v>
      </c>
      <c r="M649" t="s">
        <v>77</v>
      </c>
      <c r="N649" t="s">
        <v>78</v>
      </c>
      <c r="O649" t="s">
        <v>74</v>
      </c>
      <c r="P649" t="s">
        <v>74</v>
      </c>
      <c r="Q649" t="s">
        <v>74</v>
      </c>
      <c r="R649" t="s">
        <v>74</v>
      </c>
      <c r="S649" t="s">
        <v>74</v>
      </c>
      <c r="T649" t="s">
        <v>74</v>
      </c>
      <c r="U649" t="s">
        <v>7922</v>
      </c>
      <c r="V649" t="s">
        <v>7923</v>
      </c>
      <c r="W649" t="s">
        <v>7924</v>
      </c>
      <c r="X649" t="s">
        <v>5176</v>
      </c>
      <c r="Y649" t="s">
        <v>74</v>
      </c>
      <c r="Z649" t="s">
        <v>74</v>
      </c>
      <c r="AA649" t="s">
        <v>7925</v>
      </c>
      <c r="AB649" t="s">
        <v>7926</v>
      </c>
      <c r="AC649" t="s">
        <v>74</v>
      </c>
      <c r="AD649" t="s">
        <v>74</v>
      </c>
      <c r="AE649" t="s">
        <v>74</v>
      </c>
      <c r="AF649" t="s">
        <v>74</v>
      </c>
      <c r="AG649">
        <v>92</v>
      </c>
      <c r="AH649">
        <v>687</v>
      </c>
      <c r="AI649">
        <v>775</v>
      </c>
      <c r="AJ649">
        <v>5</v>
      </c>
      <c r="AK649">
        <v>122</v>
      </c>
      <c r="AL649" t="s">
        <v>87</v>
      </c>
      <c r="AM649" t="s">
        <v>88</v>
      </c>
      <c r="AN649" t="s">
        <v>7533</v>
      </c>
      <c r="AO649" t="s">
        <v>74</v>
      </c>
      <c r="AP649" t="s">
        <v>74</v>
      </c>
      <c r="AQ649" t="s">
        <v>74</v>
      </c>
      <c r="AR649" t="s">
        <v>92</v>
      </c>
      <c r="AS649" t="s">
        <v>93</v>
      </c>
      <c r="AT649" t="s">
        <v>7895</v>
      </c>
      <c r="AU649">
        <v>1997</v>
      </c>
      <c r="AV649">
        <v>102</v>
      </c>
      <c r="AW649" t="s">
        <v>7896</v>
      </c>
      <c r="AX649" t="s">
        <v>74</v>
      </c>
      <c r="AY649" t="s">
        <v>74</v>
      </c>
      <c r="AZ649" t="s">
        <v>74</v>
      </c>
      <c r="BA649" t="s">
        <v>74</v>
      </c>
      <c r="BB649">
        <v>26455</v>
      </c>
      <c r="BC649">
        <v>26470</v>
      </c>
      <c r="BD649" t="s">
        <v>74</v>
      </c>
      <c r="BE649" t="s">
        <v>7927</v>
      </c>
      <c r="BF649" t="str">
        <f>HYPERLINK("http://dx.doi.org/10.1029/97JC00880","http://dx.doi.org/10.1029/97JC00880")</f>
        <v>http://dx.doi.org/10.1029/97JC00880</v>
      </c>
      <c r="BG649" t="s">
        <v>74</v>
      </c>
      <c r="BH649" t="s">
        <v>74</v>
      </c>
      <c r="BI649">
        <v>16</v>
      </c>
      <c r="BJ649" t="s">
        <v>97</v>
      </c>
      <c r="BK649" t="s">
        <v>98</v>
      </c>
      <c r="BL649" t="s">
        <v>97</v>
      </c>
      <c r="BM649" t="s">
        <v>7898</v>
      </c>
      <c r="BN649" t="s">
        <v>74</v>
      </c>
      <c r="BO649" t="s">
        <v>100</v>
      </c>
      <c r="BP649" t="s">
        <v>74</v>
      </c>
      <c r="BQ649" t="s">
        <v>74</v>
      </c>
      <c r="BR649" t="s">
        <v>101</v>
      </c>
      <c r="BS649" t="s">
        <v>7928</v>
      </c>
      <c r="BT649" t="str">
        <f>HYPERLINK("https%3A%2F%2Fwww.webofscience.com%2Fwos%2Fwoscc%2Ffull-record%2FWOS:A1997YJ67100012","View Full Record in Web of Science")</f>
        <v>View Full Record in Web of Science</v>
      </c>
    </row>
    <row r="650" spans="1:72" x14ac:dyDescent="0.15">
      <c r="A650" t="s">
        <v>72</v>
      </c>
      <c r="B650" t="s">
        <v>7929</v>
      </c>
      <c r="C650" t="s">
        <v>74</v>
      </c>
      <c r="D650" t="s">
        <v>74</v>
      </c>
      <c r="E650" t="s">
        <v>74</v>
      </c>
      <c r="F650" t="s">
        <v>7929</v>
      </c>
      <c r="G650" t="s">
        <v>74</v>
      </c>
      <c r="H650" t="s">
        <v>74</v>
      </c>
      <c r="I650" t="s">
        <v>7930</v>
      </c>
      <c r="J650" t="s">
        <v>76</v>
      </c>
      <c r="K650" t="s">
        <v>74</v>
      </c>
      <c r="L650" t="s">
        <v>74</v>
      </c>
      <c r="M650" t="s">
        <v>77</v>
      </c>
      <c r="N650" t="s">
        <v>78</v>
      </c>
      <c r="O650" t="s">
        <v>74</v>
      </c>
      <c r="P650" t="s">
        <v>74</v>
      </c>
      <c r="Q650" t="s">
        <v>74</v>
      </c>
      <c r="R650" t="s">
        <v>74</v>
      </c>
      <c r="S650" t="s">
        <v>74</v>
      </c>
      <c r="T650" t="s">
        <v>74</v>
      </c>
      <c r="U650" t="s">
        <v>7931</v>
      </c>
      <c r="V650" t="s">
        <v>7932</v>
      </c>
      <c r="W650" t="s">
        <v>7933</v>
      </c>
      <c r="X650" t="s">
        <v>7934</v>
      </c>
      <c r="Y650" t="s">
        <v>7935</v>
      </c>
      <c r="Z650" t="s">
        <v>74</v>
      </c>
      <c r="AA650" t="s">
        <v>7936</v>
      </c>
      <c r="AB650" t="s">
        <v>7937</v>
      </c>
      <c r="AC650" t="s">
        <v>74</v>
      </c>
      <c r="AD650" t="s">
        <v>74</v>
      </c>
      <c r="AE650" t="s">
        <v>74</v>
      </c>
      <c r="AF650" t="s">
        <v>74</v>
      </c>
      <c r="AG650">
        <v>95</v>
      </c>
      <c r="AH650">
        <v>431</v>
      </c>
      <c r="AI650">
        <v>497</v>
      </c>
      <c r="AJ650">
        <v>3</v>
      </c>
      <c r="AK650">
        <v>114</v>
      </c>
      <c r="AL650" t="s">
        <v>87</v>
      </c>
      <c r="AM650" t="s">
        <v>88</v>
      </c>
      <c r="AN650" t="s">
        <v>89</v>
      </c>
      <c r="AO650" t="s">
        <v>90</v>
      </c>
      <c r="AP650" t="s">
        <v>91</v>
      </c>
      <c r="AQ650" t="s">
        <v>74</v>
      </c>
      <c r="AR650" t="s">
        <v>92</v>
      </c>
      <c r="AS650" t="s">
        <v>93</v>
      </c>
      <c r="AT650" t="s">
        <v>7895</v>
      </c>
      <c r="AU650">
        <v>1997</v>
      </c>
      <c r="AV650">
        <v>102</v>
      </c>
      <c r="AW650" t="s">
        <v>7896</v>
      </c>
      <c r="AX650" t="s">
        <v>74</v>
      </c>
      <c r="AY650" t="s">
        <v>74</v>
      </c>
      <c r="AZ650" t="s">
        <v>74</v>
      </c>
      <c r="BA650" t="s">
        <v>74</v>
      </c>
      <c r="BB650">
        <v>26471</v>
      </c>
      <c r="BC650">
        <v>26487</v>
      </c>
      <c r="BD650" t="s">
        <v>74</v>
      </c>
      <c r="BE650" t="s">
        <v>7938</v>
      </c>
      <c r="BF650" t="str">
        <f>HYPERLINK("http://dx.doi.org/10.1029/97JC01283","http://dx.doi.org/10.1029/97JC01283")</f>
        <v>http://dx.doi.org/10.1029/97JC01283</v>
      </c>
      <c r="BG650" t="s">
        <v>74</v>
      </c>
      <c r="BH650" t="s">
        <v>74</v>
      </c>
      <c r="BI650">
        <v>17</v>
      </c>
      <c r="BJ650" t="s">
        <v>97</v>
      </c>
      <c r="BK650" t="s">
        <v>98</v>
      </c>
      <c r="BL650" t="s">
        <v>97</v>
      </c>
      <c r="BM650" t="s">
        <v>7898</v>
      </c>
      <c r="BN650" t="s">
        <v>74</v>
      </c>
      <c r="BO650" t="s">
        <v>953</v>
      </c>
      <c r="BP650" t="s">
        <v>74</v>
      </c>
      <c r="BQ650" t="s">
        <v>74</v>
      </c>
      <c r="BR650" t="s">
        <v>101</v>
      </c>
      <c r="BS650" t="s">
        <v>7939</v>
      </c>
      <c r="BT650" t="str">
        <f>HYPERLINK("https%3A%2F%2Fwww.webofscience.com%2Fwos%2Fwoscc%2Ffull-record%2FWOS:A1997YJ67100013","View Full Record in Web of Science")</f>
        <v>View Full Record in Web of Science</v>
      </c>
    </row>
    <row r="651" spans="1:72" x14ac:dyDescent="0.15">
      <c r="A651" t="s">
        <v>72</v>
      </c>
      <c r="B651" t="s">
        <v>7940</v>
      </c>
      <c r="C651" t="s">
        <v>74</v>
      </c>
      <c r="D651" t="s">
        <v>74</v>
      </c>
      <c r="E651" t="s">
        <v>74</v>
      </c>
      <c r="F651" t="s">
        <v>7940</v>
      </c>
      <c r="G651" t="s">
        <v>74</v>
      </c>
      <c r="H651" t="s">
        <v>74</v>
      </c>
      <c r="I651" t="s">
        <v>7941</v>
      </c>
      <c r="J651" t="s">
        <v>76</v>
      </c>
      <c r="K651" t="s">
        <v>74</v>
      </c>
      <c r="L651" t="s">
        <v>74</v>
      </c>
      <c r="M651" t="s">
        <v>77</v>
      </c>
      <c r="N651" t="s">
        <v>78</v>
      </c>
      <c r="O651" t="s">
        <v>74</v>
      </c>
      <c r="P651" t="s">
        <v>74</v>
      </c>
      <c r="Q651" t="s">
        <v>74</v>
      </c>
      <c r="R651" t="s">
        <v>74</v>
      </c>
      <c r="S651" t="s">
        <v>74</v>
      </c>
      <c r="T651" t="s">
        <v>74</v>
      </c>
      <c r="U651" t="s">
        <v>7942</v>
      </c>
      <c r="V651" t="s">
        <v>7943</v>
      </c>
      <c r="W651" t="s">
        <v>7944</v>
      </c>
      <c r="X651" t="s">
        <v>7945</v>
      </c>
      <c r="Y651" t="s">
        <v>7946</v>
      </c>
      <c r="Z651" t="s">
        <v>74</v>
      </c>
      <c r="AA651" t="s">
        <v>74</v>
      </c>
      <c r="AB651" t="s">
        <v>74</v>
      </c>
      <c r="AC651" t="s">
        <v>74</v>
      </c>
      <c r="AD651" t="s">
        <v>74</v>
      </c>
      <c r="AE651" t="s">
        <v>74</v>
      </c>
      <c r="AF651" t="s">
        <v>74</v>
      </c>
      <c r="AG651">
        <v>15</v>
      </c>
      <c r="AH651">
        <v>18</v>
      </c>
      <c r="AI651">
        <v>20</v>
      </c>
      <c r="AJ651">
        <v>0</v>
      </c>
      <c r="AK651">
        <v>0</v>
      </c>
      <c r="AL651" t="s">
        <v>87</v>
      </c>
      <c r="AM651" t="s">
        <v>88</v>
      </c>
      <c r="AN651" t="s">
        <v>7533</v>
      </c>
      <c r="AO651" t="s">
        <v>74</v>
      </c>
      <c r="AP651" t="s">
        <v>74</v>
      </c>
      <c r="AQ651" t="s">
        <v>74</v>
      </c>
      <c r="AR651" t="s">
        <v>92</v>
      </c>
      <c r="AS651" t="s">
        <v>93</v>
      </c>
      <c r="AT651" t="s">
        <v>7895</v>
      </c>
      <c r="AU651">
        <v>1997</v>
      </c>
      <c r="AV651">
        <v>102</v>
      </c>
      <c r="AW651" t="s">
        <v>7896</v>
      </c>
      <c r="AX651" t="s">
        <v>74</v>
      </c>
      <c r="AY651" t="s">
        <v>74</v>
      </c>
      <c r="AZ651" t="s">
        <v>74</v>
      </c>
      <c r="BA651" t="s">
        <v>74</v>
      </c>
      <c r="BB651">
        <v>26505</v>
      </c>
      <c r="BC651">
        <v>26510</v>
      </c>
      <c r="BD651" t="s">
        <v>74</v>
      </c>
      <c r="BE651" t="s">
        <v>7947</v>
      </c>
      <c r="BF651" t="str">
        <f>HYPERLINK("http://dx.doi.org/10.1029/96JC02224","http://dx.doi.org/10.1029/96JC02224")</f>
        <v>http://dx.doi.org/10.1029/96JC02224</v>
      </c>
      <c r="BG651" t="s">
        <v>74</v>
      </c>
      <c r="BH651" t="s">
        <v>74</v>
      </c>
      <c r="BI651">
        <v>6</v>
      </c>
      <c r="BJ651" t="s">
        <v>97</v>
      </c>
      <c r="BK651" t="s">
        <v>98</v>
      </c>
      <c r="BL651" t="s">
        <v>97</v>
      </c>
      <c r="BM651" t="s">
        <v>7898</v>
      </c>
      <c r="BN651" t="s">
        <v>74</v>
      </c>
      <c r="BO651" t="s">
        <v>100</v>
      </c>
      <c r="BP651" t="s">
        <v>74</v>
      </c>
      <c r="BQ651" t="s">
        <v>74</v>
      </c>
      <c r="BR651" t="s">
        <v>101</v>
      </c>
      <c r="BS651" t="s">
        <v>7948</v>
      </c>
      <c r="BT651" t="str">
        <f>HYPERLINK("https%3A%2F%2Fwww.webofscience.com%2Fwos%2Fwoscc%2Ffull-record%2FWOS:A1997YJ67100015","View Full Record in Web of Science")</f>
        <v>View Full Record in Web of Science</v>
      </c>
    </row>
    <row r="652" spans="1:72" x14ac:dyDescent="0.15">
      <c r="A652" t="s">
        <v>72</v>
      </c>
      <c r="B652" t="s">
        <v>7949</v>
      </c>
      <c r="C652" t="s">
        <v>74</v>
      </c>
      <c r="D652" t="s">
        <v>74</v>
      </c>
      <c r="E652" t="s">
        <v>74</v>
      </c>
      <c r="F652" t="s">
        <v>7949</v>
      </c>
      <c r="G652" t="s">
        <v>74</v>
      </c>
      <c r="H652" t="s">
        <v>74</v>
      </c>
      <c r="I652" t="s">
        <v>7950</v>
      </c>
      <c r="J652" t="s">
        <v>76</v>
      </c>
      <c r="K652" t="s">
        <v>74</v>
      </c>
      <c r="L652" t="s">
        <v>74</v>
      </c>
      <c r="M652" t="s">
        <v>77</v>
      </c>
      <c r="N652" t="s">
        <v>78</v>
      </c>
      <c r="O652" t="s">
        <v>74</v>
      </c>
      <c r="P652" t="s">
        <v>74</v>
      </c>
      <c r="Q652" t="s">
        <v>74</v>
      </c>
      <c r="R652" t="s">
        <v>74</v>
      </c>
      <c r="S652" t="s">
        <v>74</v>
      </c>
      <c r="T652" t="s">
        <v>74</v>
      </c>
      <c r="U652" t="s">
        <v>7951</v>
      </c>
      <c r="V652" t="s">
        <v>7952</v>
      </c>
      <c r="W652" t="s">
        <v>7953</v>
      </c>
      <c r="X652" t="s">
        <v>3108</v>
      </c>
      <c r="Y652" t="s">
        <v>7954</v>
      </c>
      <c r="Z652" t="s">
        <v>74</v>
      </c>
      <c r="AA652" t="s">
        <v>7955</v>
      </c>
      <c r="AB652" t="s">
        <v>74</v>
      </c>
      <c r="AC652" t="s">
        <v>74</v>
      </c>
      <c r="AD652" t="s">
        <v>74</v>
      </c>
      <c r="AE652" t="s">
        <v>74</v>
      </c>
      <c r="AF652" t="s">
        <v>74</v>
      </c>
      <c r="AG652">
        <v>30</v>
      </c>
      <c r="AH652">
        <v>47</v>
      </c>
      <c r="AI652">
        <v>51</v>
      </c>
      <c r="AJ652">
        <v>1</v>
      </c>
      <c r="AK652">
        <v>15</v>
      </c>
      <c r="AL652" t="s">
        <v>87</v>
      </c>
      <c r="AM652" t="s">
        <v>88</v>
      </c>
      <c r="AN652" t="s">
        <v>7533</v>
      </c>
      <c r="AO652" t="s">
        <v>74</v>
      </c>
      <c r="AP652" t="s">
        <v>74</v>
      </c>
      <c r="AQ652" t="s">
        <v>74</v>
      </c>
      <c r="AR652" t="s">
        <v>92</v>
      </c>
      <c r="AS652" t="s">
        <v>93</v>
      </c>
      <c r="AT652" t="s">
        <v>7895</v>
      </c>
      <c r="AU652">
        <v>1997</v>
      </c>
      <c r="AV652">
        <v>102</v>
      </c>
      <c r="AW652" t="s">
        <v>7896</v>
      </c>
      <c r="AX652" t="s">
        <v>74</v>
      </c>
      <c r="AY652" t="s">
        <v>74</v>
      </c>
      <c r="AZ652" t="s">
        <v>74</v>
      </c>
      <c r="BA652" t="s">
        <v>74</v>
      </c>
      <c r="BB652">
        <v>26539</v>
      </c>
      <c r="BC652">
        <v>26545</v>
      </c>
      <c r="BD652" t="s">
        <v>74</v>
      </c>
      <c r="BE652" t="s">
        <v>7956</v>
      </c>
      <c r="BF652" t="str">
        <f>HYPERLINK("http://dx.doi.org/10.1029/97JC00182","http://dx.doi.org/10.1029/97JC00182")</f>
        <v>http://dx.doi.org/10.1029/97JC00182</v>
      </c>
      <c r="BG652" t="s">
        <v>74</v>
      </c>
      <c r="BH652" t="s">
        <v>74</v>
      </c>
      <c r="BI652">
        <v>7</v>
      </c>
      <c r="BJ652" t="s">
        <v>97</v>
      </c>
      <c r="BK652" t="s">
        <v>98</v>
      </c>
      <c r="BL652" t="s">
        <v>97</v>
      </c>
      <c r="BM652" t="s">
        <v>7898</v>
      </c>
      <c r="BN652" t="s">
        <v>74</v>
      </c>
      <c r="BO652" t="s">
        <v>953</v>
      </c>
      <c r="BP652" t="s">
        <v>74</v>
      </c>
      <c r="BQ652" t="s">
        <v>74</v>
      </c>
      <c r="BR652" t="s">
        <v>101</v>
      </c>
      <c r="BS652" t="s">
        <v>7957</v>
      </c>
      <c r="BT652" t="str">
        <f>HYPERLINK("https%3A%2F%2Fwww.webofscience.com%2Fwos%2Fwoscc%2Ffull-record%2FWOS:A1997YJ67100019","View Full Record in Web of Science")</f>
        <v>View Full Record in Web of Science</v>
      </c>
    </row>
    <row r="653" spans="1:72" x14ac:dyDescent="0.15">
      <c r="A653" t="s">
        <v>72</v>
      </c>
      <c r="B653" t="s">
        <v>7958</v>
      </c>
      <c r="C653" t="s">
        <v>74</v>
      </c>
      <c r="D653" t="s">
        <v>74</v>
      </c>
      <c r="E653" t="s">
        <v>74</v>
      </c>
      <c r="F653" t="s">
        <v>7958</v>
      </c>
      <c r="G653" t="s">
        <v>74</v>
      </c>
      <c r="H653" t="s">
        <v>74</v>
      </c>
      <c r="I653" t="s">
        <v>7959</v>
      </c>
      <c r="J653" t="s">
        <v>76</v>
      </c>
      <c r="K653" t="s">
        <v>74</v>
      </c>
      <c r="L653" t="s">
        <v>74</v>
      </c>
      <c r="M653" t="s">
        <v>77</v>
      </c>
      <c r="N653" t="s">
        <v>78</v>
      </c>
      <c r="O653" t="s">
        <v>74</v>
      </c>
      <c r="P653" t="s">
        <v>74</v>
      </c>
      <c r="Q653" t="s">
        <v>74</v>
      </c>
      <c r="R653" t="s">
        <v>74</v>
      </c>
      <c r="S653" t="s">
        <v>74</v>
      </c>
      <c r="T653" t="s">
        <v>74</v>
      </c>
      <c r="U653" t="s">
        <v>7960</v>
      </c>
      <c r="V653" t="s">
        <v>7961</v>
      </c>
      <c r="W653" t="s">
        <v>7962</v>
      </c>
      <c r="X653" t="s">
        <v>7963</v>
      </c>
      <c r="Y653" t="s">
        <v>7964</v>
      </c>
      <c r="Z653" t="s">
        <v>74</v>
      </c>
      <c r="AA653" t="s">
        <v>7965</v>
      </c>
      <c r="AB653" t="s">
        <v>7966</v>
      </c>
      <c r="AC653" t="s">
        <v>74</v>
      </c>
      <c r="AD653" t="s">
        <v>74</v>
      </c>
      <c r="AE653" t="s">
        <v>74</v>
      </c>
      <c r="AF653" t="s">
        <v>74</v>
      </c>
      <c r="AG653">
        <v>33</v>
      </c>
      <c r="AH653">
        <v>75</v>
      </c>
      <c r="AI653">
        <v>81</v>
      </c>
      <c r="AJ653">
        <v>0</v>
      </c>
      <c r="AK653">
        <v>12</v>
      </c>
      <c r="AL653" t="s">
        <v>87</v>
      </c>
      <c r="AM653" t="s">
        <v>88</v>
      </c>
      <c r="AN653" t="s">
        <v>7533</v>
      </c>
      <c r="AO653" t="s">
        <v>74</v>
      </c>
      <c r="AP653" t="s">
        <v>74</v>
      </c>
      <c r="AQ653" t="s">
        <v>74</v>
      </c>
      <c r="AR653" t="s">
        <v>92</v>
      </c>
      <c r="AS653" t="s">
        <v>93</v>
      </c>
      <c r="AT653" t="s">
        <v>7895</v>
      </c>
      <c r="AU653">
        <v>1997</v>
      </c>
      <c r="AV653">
        <v>102</v>
      </c>
      <c r="AW653" t="s">
        <v>7896</v>
      </c>
      <c r="AX653" t="s">
        <v>74</v>
      </c>
      <c r="AY653" t="s">
        <v>74</v>
      </c>
      <c r="AZ653" t="s">
        <v>74</v>
      </c>
      <c r="BA653" t="s">
        <v>74</v>
      </c>
      <c r="BB653">
        <v>26547</v>
      </c>
      <c r="BC653">
        <v>26557</v>
      </c>
      <c r="BD653" t="s">
        <v>74</v>
      </c>
      <c r="BE653" t="s">
        <v>7967</v>
      </c>
      <c r="BF653" t="str">
        <f>HYPERLINK("http://dx.doi.org/10.1029/97JC00164","http://dx.doi.org/10.1029/97JC00164")</f>
        <v>http://dx.doi.org/10.1029/97JC00164</v>
      </c>
      <c r="BG653" t="s">
        <v>74</v>
      </c>
      <c r="BH653" t="s">
        <v>74</v>
      </c>
      <c r="BI653">
        <v>11</v>
      </c>
      <c r="BJ653" t="s">
        <v>97</v>
      </c>
      <c r="BK653" t="s">
        <v>98</v>
      </c>
      <c r="BL653" t="s">
        <v>97</v>
      </c>
      <c r="BM653" t="s">
        <v>7898</v>
      </c>
      <c r="BN653" t="s">
        <v>74</v>
      </c>
      <c r="BO653" t="s">
        <v>7968</v>
      </c>
      <c r="BP653" t="s">
        <v>74</v>
      </c>
      <c r="BQ653" t="s">
        <v>74</v>
      </c>
      <c r="BR653" t="s">
        <v>101</v>
      </c>
      <c r="BS653" t="s">
        <v>7969</v>
      </c>
      <c r="BT653" t="str">
        <f>HYPERLINK("https%3A%2F%2Fwww.webofscience.com%2Fwos%2Fwoscc%2Ffull-record%2FWOS:A1997YJ67100020","View Full Record in Web of Science")</f>
        <v>View Full Record in Web of Science</v>
      </c>
    </row>
    <row r="654" spans="1:72" x14ac:dyDescent="0.15">
      <c r="A654" t="s">
        <v>72</v>
      </c>
      <c r="B654" t="s">
        <v>7970</v>
      </c>
      <c r="C654" t="s">
        <v>74</v>
      </c>
      <c r="D654" t="s">
        <v>74</v>
      </c>
      <c r="E654" t="s">
        <v>74</v>
      </c>
      <c r="F654" t="s">
        <v>7970</v>
      </c>
      <c r="G654" t="s">
        <v>74</v>
      </c>
      <c r="H654" t="s">
        <v>74</v>
      </c>
      <c r="I654" t="s">
        <v>7971</v>
      </c>
      <c r="J654" t="s">
        <v>76</v>
      </c>
      <c r="K654" t="s">
        <v>74</v>
      </c>
      <c r="L654" t="s">
        <v>74</v>
      </c>
      <c r="M654" t="s">
        <v>77</v>
      </c>
      <c r="N654" t="s">
        <v>78</v>
      </c>
      <c r="O654" t="s">
        <v>74</v>
      </c>
      <c r="P654" t="s">
        <v>74</v>
      </c>
      <c r="Q654" t="s">
        <v>74</v>
      </c>
      <c r="R654" t="s">
        <v>74</v>
      </c>
      <c r="S654" t="s">
        <v>74</v>
      </c>
      <c r="T654" t="s">
        <v>74</v>
      </c>
      <c r="U654" t="s">
        <v>7972</v>
      </c>
      <c r="V654" t="s">
        <v>7973</v>
      </c>
      <c r="W654" t="s">
        <v>7974</v>
      </c>
      <c r="X654" t="s">
        <v>7975</v>
      </c>
      <c r="Y654" t="s">
        <v>7976</v>
      </c>
      <c r="Z654" t="s">
        <v>74</v>
      </c>
      <c r="AA654" t="s">
        <v>7977</v>
      </c>
      <c r="AB654" t="s">
        <v>7978</v>
      </c>
      <c r="AC654" t="s">
        <v>74</v>
      </c>
      <c r="AD654" t="s">
        <v>74</v>
      </c>
      <c r="AE654" t="s">
        <v>74</v>
      </c>
      <c r="AF654" t="s">
        <v>74</v>
      </c>
      <c r="AG654">
        <v>23</v>
      </c>
      <c r="AH654">
        <v>20</v>
      </c>
      <c r="AI654">
        <v>20</v>
      </c>
      <c r="AJ654">
        <v>0</v>
      </c>
      <c r="AK654">
        <v>11</v>
      </c>
      <c r="AL654" t="s">
        <v>87</v>
      </c>
      <c r="AM654" t="s">
        <v>88</v>
      </c>
      <c r="AN654" t="s">
        <v>89</v>
      </c>
      <c r="AO654" t="s">
        <v>90</v>
      </c>
      <c r="AP654" t="s">
        <v>91</v>
      </c>
      <c r="AQ654" t="s">
        <v>74</v>
      </c>
      <c r="AR654" t="s">
        <v>92</v>
      </c>
      <c r="AS654" t="s">
        <v>93</v>
      </c>
      <c r="AT654" t="s">
        <v>7895</v>
      </c>
      <c r="AU654">
        <v>1997</v>
      </c>
      <c r="AV654">
        <v>102</v>
      </c>
      <c r="AW654" t="s">
        <v>7896</v>
      </c>
      <c r="AX654" t="s">
        <v>74</v>
      </c>
      <c r="AY654" t="s">
        <v>74</v>
      </c>
      <c r="AZ654" t="s">
        <v>74</v>
      </c>
      <c r="BA654" t="s">
        <v>74</v>
      </c>
      <c r="BB654">
        <v>26577</v>
      </c>
      <c r="BC654">
        <v>26582</v>
      </c>
      <c r="BD654" t="s">
        <v>74</v>
      </c>
      <c r="BE654" t="s">
        <v>7979</v>
      </c>
      <c r="BF654" t="str">
        <f>HYPERLINK("http://dx.doi.org/10.1029/97JC00163","http://dx.doi.org/10.1029/97JC00163")</f>
        <v>http://dx.doi.org/10.1029/97JC00163</v>
      </c>
      <c r="BG654" t="s">
        <v>74</v>
      </c>
      <c r="BH654" t="s">
        <v>74</v>
      </c>
      <c r="BI654">
        <v>6</v>
      </c>
      <c r="BJ654" t="s">
        <v>97</v>
      </c>
      <c r="BK654" t="s">
        <v>98</v>
      </c>
      <c r="BL654" t="s">
        <v>97</v>
      </c>
      <c r="BM654" t="s">
        <v>7898</v>
      </c>
      <c r="BN654" t="s">
        <v>74</v>
      </c>
      <c r="BO654" t="s">
        <v>509</v>
      </c>
      <c r="BP654" t="s">
        <v>74</v>
      </c>
      <c r="BQ654" t="s">
        <v>74</v>
      </c>
      <c r="BR654" t="s">
        <v>101</v>
      </c>
      <c r="BS654" t="s">
        <v>7980</v>
      </c>
      <c r="BT654" t="str">
        <f>HYPERLINK("https%3A%2F%2Fwww.webofscience.com%2Fwos%2Fwoscc%2Ffull-record%2FWOS:A1997YJ67100022","View Full Record in Web of Science")</f>
        <v>View Full Record in Web of Science</v>
      </c>
    </row>
    <row r="655" spans="1:72" x14ac:dyDescent="0.15">
      <c r="A655" t="s">
        <v>72</v>
      </c>
      <c r="B655" t="s">
        <v>7981</v>
      </c>
      <c r="C655" t="s">
        <v>74</v>
      </c>
      <c r="D655" t="s">
        <v>74</v>
      </c>
      <c r="E655" t="s">
        <v>74</v>
      </c>
      <c r="F655" t="s">
        <v>7981</v>
      </c>
      <c r="G655" t="s">
        <v>74</v>
      </c>
      <c r="H655" t="s">
        <v>74</v>
      </c>
      <c r="I655" t="s">
        <v>7982</v>
      </c>
      <c r="J655" t="s">
        <v>76</v>
      </c>
      <c r="K655" t="s">
        <v>74</v>
      </c>
      <c r="L655" t="s">
        <v>74</v>
      </c>
      <c r="M655" t="s">
        <v>77</v>
      </c>
      <c r="N655" t="s">
        <v>78</v>
      </c>
      <c r="O655" t="s">
        <v>74</v>
      </c>
      <c r="P655" t="s">
        <v>74</v>
      </c>
      <c r="Q655" t="s">
        <v>74</v>
      </c>
      <c r="R655" t="s">
        <v>74</v>
      </c>
      <c r="S655" t="s">
        <v>74</v>
      </c>
      <c r="T655" t="s">
        <v>74</v>
      </c>
      <c r="U655" t="s">
        <v>7983</v>
      </c>
      <c r="V655" t="s">
        <v>7984</v>
      </c>
      <c r="W655" t="s">
        <v>74</v>
      </c>
      <c r="X655" t="s">
        <v>74</v>
      </c>
      <c r="Y655" t="s">
        <v>7985</v>
      </c>
      <c r="Z655" t="s">
        <v>74</v>
      </c>
      <c r="AA655" t="s">
        <v>74</v>
      </c>
      <c r="AB655" t="s">
        <v>7986</v>
      </c>
      <c r="AC655" t="s">
        <v>74</v>
      </c>
      <c r="AD655" t="s">
        <v>74</v>
      </c>
      <c r="AE655" t="s">
        <v>74</v>
      </c>
      <c r="AF655" t="s">
        <v>74</v>
      </c>
      <c r="AG655">
        <v>72</v>
      </c>
      <c r="AH655">
        <v>197</v>
      </c>
      <c r="AI655">
        <v>209</v>
      </c>
      <c r="AJ655">
        <v>0</v>
      </c>
      <c r="AK655">
        <v>9</v>
      </c>
      <c r="AL655" t="s">
        <v>87</v>
      </c>
      <c r="AM655" t="s">
        <v>88</v>
      </c>
      <c r="AN655" t="s">
        <v>7533</v>
      </c>
      <c r="AO655" t="s">
        <v>74</v>
      </c>
      <c r="AP655" t="s">
        <v>74</v>
      </c>
      <c r="AQ655" t="s">
        <v>74</v>
      </c>
      <c r="AR655" t="s">
        <v>92</v>
      </c>
      <c r="AS655" t="s">
        <v>93</v>
      </c>
      <c r="AT655" t="s">
        <v>7895</v>
      </c>
      <c r="AU655">
        <v>1997</v>
      </c>
      <c r="AV655">
        <v>102</v>
      </c>
      <c r="AW655" t="s">
        <v>7896</v>
      </c>
      <c r="AX655" t="s">
        <v>74</v>
      </c>
      <c r="AY655" t="s">
        <v>74</v>
      </c>
      <c r="AZ655" t="s">
        <v>74</v>
      </c>
      <c r="BA655" t="s">
        <v>74</v>
      </c>
      <c r="BB655">
        <v>26583</v>
      </c>
      <c r="BC655">
        <v>26599</v>
      </c>
      <c r="BD655" t="s">
        <v>74</v>
      </c>
      <c r="BE655" t="s">
        <v>7987</v>
      </c>
      <c r="BF655" t="str">
        <f>HYPERLINK("http://dx.doi.org/10.1029/97JC00161","http://dx.doi.org/10.1029/97JC00161")</f>
        <v>http://dx.doi.org/10.1029/97JC00161</v>
      </c>
      <c r="BG655" t="s">
        <v>74</v>
      </c>
      <c r="BH655" t="s">
        <v>74</v>
      </c>
      <c r="BI655">
        <v>17</v>
      </c>
      <c r="BJ655" t="s">
        <v>97</v>
      </c>
      <c r="BK655" t="s">
        <v>98</v>
      </c>
      <c r="BL655" t="s">
        <v>97</v>
      </c>
      <c r="BM655" t="s">
        <v>7898</v>
      </c>
      <c r="BN655" t="s">
        <v>74</v>
      </c>
      <c r="BO655" t="s">
        <v>100</v>
      </c>
      <c r="BP655" t="s">
        <v>74</v>
      </c>
      <c r="BQ655" t="s">
        <v>74</v>
      </c>
      <c r="BR655" t="s">
        <v>101</v>
      </c>
      <c r="BS655" t="s">
        <v>7988</v>
      </c>
      <c r="BT655" t="str">
        <f>HYPERLINK("https%3A%2F%2Fwww.webofscience.com%2Fwos%2Fwoscc%2Ffull-record%2FWOS:A1997YJ67100023","View Full Record in Web of Science")</f>
        <v>View Full Record in Web of Science</v>
      </c>
    </row>
    <row r="656" spans="1:72" x14ac:dyDescent="0.15">
      <c r="A656" t="s">
        <v>72</v>
      </c>
      <c r="B656" t="s">
        <v>7989</v>
      </c>
      <c r="C656" t="s">
        <v>74</v>
      </c>
      <c r="D656" t="s">
        <v>74</v>
      </c>
      <c r="E656" t="s">
        <v>74</v>
      </c>
      <c r="F656" t="s">
        <v>7989</v>
      </c>
      <c r="G656" t="s">
        <v>74</v>
      </c>
      <c r="H656" t="s">
        <v>74</v>
      </c>
      <c r="I656" t="s">
        <v>7990</v>
      </c>
      <c r="J656" t="s">
        <v>76</v>
      </c>
      <c r="K656" t="s">
        <v>74</v>
      </c>
      <c r="L656" t="s">
        <v>74</v>
      </c>
      <c r="M656" t="s">
        <v>77</v>
      </c>
      <c r="N656" t="s">
        <v>78</v>
      </c>
      <c r="O656" t="s">
        <v>74</v>
      </c>
      <c r="P656" t="s">
        <v>74</v>
      </c>
      <c r="Q656" t="s">
        <v>74</v>
      </c>
      <c r="R656" t="s">
        <v>74</v>
      </c>
      <c r="S656" t="s">
        <v>74</v>
      </c>
      <c r="T656" t="s">
        <v>74</v>
      </c>
      <c r="U656" t="s">
        <v>7991</v>
      </c>
      <c r="V656" t="s">
        <v>7992</v>
      </c>
      <c r="W656" t="s">
        <v>7993</v>
      </c>
      <c r="X656" t="s">
        <v>7994</v>
      </c>
      <c r="Y656" t="s">
        <v>7995</v>
      </c>
      <c r="Z656" t="s">
        <v>74</v>
      </c>
      <c r="AA656" t="s">
        <v>3356</v>
      </c>
      <c r="AB656" t="s">
        <v>74</v>
      </c>
      <c r="AC656" t="s">
        <v>74</v>
      </c>
      <c r="AD656" t="s">
        <v>74</v>
      </c>
      <c r="AE656" t="s">
        <v>74</v>
      </c>
      <c r="AF656" t="s">
        <v>74</v>
      </c>
      <c r="AG656">
        <v>52</v>
      </c>
      <c r="AH656">
        <v>31</v>
      </c>
      <c r="AI656">
        <v>33</v>
      </c>
      <c r="AJ656">
        <v>0</v>
      </c>
      <c r="AK656">
        <v>4</v>
      </c>
      <c r="AL656" t="s">
        <v>87</v>
      </c>
      <c r="AM656" t="s">
        <v>88</v>
      </c>
      <c r="AN656" t="s">
        <v>89</v>
      </c>
      <c r="AO656" t="s">
        <v>90</v>
      </c>
      <c r="AP656" t="s">
        <v>91</v>
      </c>
      <c r="AQ656" t="s">
        <v>74</v>
      </c>
      <c r="AR656" t="s">
        <v>92</v>
      </c>
      <c r="AS656" t="s">
        <v>93</v>
      </c>
      <c r="AT656" t="s">
        <v>7895</v>
      </c>
      <c r="AU656">
        <v>1997</v>
      </c>
      <c r="AV656">
        <v>102</v>
      </c>
      <c r="AW656" t="s">
        <v>7896</v>
      </c>
      <c r="AX656" t="s">
        <v>74</v>
      </c>
      <c r="AY656" t="s">
        <v>74</v>
      </c>
      <c r="AZ656" t="s">
        <v>74</v>
      </c>
      <c r="BA656" t="s">
        <v>74</v>
      </c>
      <c r="BB656">
        <v>26649</v>
      </c>
      <c r="BC656">
        <v>26657</v>
      </c>
      <c r="BD656" t="s">
        <v>74</v>
      </c>
      <c r="BE656" t="s">
        <v>7996</v>
      </c>
      <c r="BF656" t="str">
        <f>HYPERLINK("http://dx.doi.org/10.1029/97JC01377","http://dx.doi.org/10.1029/97JC01377")</f>
        <v>http://dx.doi.org/10.1029/97JC01377</v>
      </c>
      <c r="BG656" t="s">
        <v>74</v>
      </c>
      <c r="BH656" t="s">
        <v>74</v>
      </c>
      <c r="BI656">
        <v>9</v>
      </c>
      <c r="BJ656" t="s">
        <v>97</v>
      </c>
      <c r="BK656" t="s">
        <v>98</v>
      </c>
      <c r="BL656" t="s">
        <v>97</v>
      </c>
      <c r="BM656" t="s">
        <v>7898</v>
      </c>
      <c r="BN656" t="s">
        <v>74</v>
      </c>
      <c r="BO656" t="s">
        <v>7968</v>
      </c>
      <c r="BP656" t="s">
        <v>74</v>
      </c>
      <c r="BQ656" t="s">
        <v>74</v>
      </c>
      <c r="BR656" t="s">
        <v>101</v>
      </c>
      <c r="BS656" t="s">
        <v>7997</v>
      </c>
      <c r="BT656" t="str">
        <f>HYPERLINK("https%3A%2F%2Fwww.webofscience.com%2Fwos%2Fwoscc%2Ffull-record%2FWOS:A1997YJ67100029","View Full Record in Web of Science")</f>
        <v>View Full Record in Web of Science</v>
      </c>
    </row>
    <row r="657" spans="1:72" x14ac:dyDescent="0.15">
      <c r="A657" t="s">
        <v>72</v>
      </c>
      <c r="B657" t="s">
        <v>7998</v>
      </c>
      <c r="C657" t="s">
        <v>74</v>
      </c>
      <c r="D657" t="s">
        <v>74</v>
      </c>
      <c r="E657" t="s">
        <v>74</v>
      </c>
      <c r="F657" t="s">
        <v>7998</v>
      </c>
      <c r="G657" t="s">
        <v>74</v>
      </c>
      <c r="H657" t="s">
        <v>74</v>
      </c>
      <c r="I657" t="s">
        <v>7999</v>
      </c>
      <c r="J657" t="s">
        <v>76</v>
      </c>
      <c r="K657" t="s">
        <v>74</v>
      </c>
      <c r="L657" t="s">
        <v>74</v>
      </c>
      <c r="M657" t="s">
        <v>77</v>
      </c>
      <c r="N657" t="s">
        <v>78</v>
      </c>
      <c r="O657" t="s">
        <v>74</v>
      </c>
      <c r="P657" t="s">
        <v>74</v>
      </c>
      <c r="Q657" t="s">
        <v>74</v>
      </c>
      <c r="R657" t="s">
        <v>74</v>
      </c>
      <c r="S657" t="s">
        <v>74</v>
      </c>
      <c r="T657" t="s">
        <v>74</v>
      </c>
      <c r="U657" t="s">
        <v>8000</v>
      </c>
      <c r="V657" t="s">
        <v>8001</v>
      </c>
      <c r="W657" t="s">
        <v>8002</v>
      </c>
      <c r="X657" t="s">
        <v>8003</v>
      </c>
      <c r="Y657" t="s">
        <v>8004</v>
      </c>
      <c r="Z657" t="s">
        <v>74</v>
      </c>
      <c r="AA657" t="s">
        <v>8005</v>
      </c>
      <c r="AB657" t="s">
        <v>8006</v>
      </c>
      <c r="AC657" t="s">
        <v>74</v>
      </c>
      <c r="AD657" t="s">
        <v>74</v>
      </c>
      <c r="AE657" t="s">
        <v>74</v>
      </c>
      <c r="AF657" t="s">
        <v>74</v>
      </c>
      <c r="AG657">
        <v>53</v>
      </c>
      <c r="AH657">
        <v>76</v>
      </c>
      <c r="AI657">
        <v>88</v>
      </c>
      <c r="AJ657">
        <v>0</v>
      </c>
      <c r="AK657">
        <v>20</v>
      </c>
      <c r="AL657" t="s">
        <v>87</v>
      </c>
      <c r="AM657" t="s">
        <v>88</v>
      </c>
      <c r="AN657" t="s">
        <v>7533</v>
      </c>
      <c r="AO657" t="s">
        <v>74</v>
      </c>
      <c r="AP657" t="s">
        <v>74</v>
      </c>
      <c r="AQ657" t="s">
        <v>74</v>
      </c>
      <c r="AR657" t="s">
        <v>92</v>
      </c>
      <c r="AS657" t="s">
        <v>93</v>
      </c>
      <c r="AT657" t="s">
        <v>7895</v>
      </c>
      <c r="AU657">
        <v>1997</v>
      </c>
      <c r="AV657">
        <v>102</v>
      </c>
      <c r="AW657" t="s">
        <v>7896</v>
      </c>
      <c r="AX657" t="s">
        <v>74</v>
      </c>
      <c r="AY657" t="s">
        <v>74</v>
      </c>
      <c r="AZ657" t="s">
        <v>74</v>
      </c>
      <c r="BA657" t="s">
        <v>74</v>
      </c>
      <c r="BB657">
        <v>26663</v>
      </c>
      <c r="BC657">
        <v>26679</v>
      </c>
      <c r="BD657" t="s">
        <v>74</v>
      </c>
      <c r="BE657" t="s">
        <v>8007</v>
      </c>
      <c r="BF657" t="str">
        <f>HYPERLINK("http://dx.doi.org/10.1029/97JC01436","http://dx.doi.org/10.1029/97JC01436")</f>
        <v>http://dx.doi.org/10.1029/97JC01436</v>
      </c>
      <c r="BG657" t="s">
        <v>74</v>
      </c>
      <c r="BH657" t="s">
        <v>74</v>
      </c>
      <c r="BI657">
        <v>17</v>
      </c>
      <c r="BJ657" t="s">
        <v>97</v>
      </c>
      <c r="BK657" t="s">
        <v>98</v>
      </c>
      <c r="BL657" t="s">
        <v>97</v>
      </c>
      <c r="BM657" t="s">
        <v>7898</v>
      </c>
      <c r="BN657" t="s">
        <v>74</v>
      </c>
      <c r="BO657" t="s">
        <v>953</v>
      </c>
      <c r="BP657" t="s">
        <v>74</v>
      </c>
      <c r="BQ657" t="s">
        <v>74</v>
      </c>
      <c r="BR657" t="s">
        <v>101</v>
      </c>
      <c r="BS657" t="s">
        <v>8008</v>
      </c>
      <c r="BT657" t="str">
        <f>HYPERLINK("https%3A%2F%2Fwww.webofscience.com%2Fwos%2Fwoscc%2Ffull-record%2FWOS:A1997YJ67100031","View Full Record in Web of Science")</f>
        <v>View Full Record in Web of Science</v>
      </c>
    </row>
    <row r="658" spans="1:72" x14ac:dyDescent="0.15">
      <c r="A658" t="s">
        <v>72</v>
      </c>
      <c r="B658" t="s">
        <v>8009</v>
      </c>
      <c r="C658" t="s">
        <v>74</v>
      </c>
      <c r="D658" t="s">
        <v>74</v>
      </c>
      <c r="E658" t="s">
        <v>74</v>
      </c>
      <c r="F658" t="s">
        <v>8009</v>
      </c>
      <c r="G658" t="s">
        <v>74</v>
      </c>
      <c r="H658" t="s">
        <v>74</v>
      </c>
      <c r="I658" t="s">
        <v>8010</v>
      </c>
      <c r="J658" t="s">
        <v>76</v>
      </c>
      <c r="K658" t="s">
        <v>74</v>
      </c>
      <c r="L658" t="s">
        <v>74</v>
      </c>
      <c r="M658" t="s">
        <v>77</v>
      </c>
      <c r="N658" t="s">
        <v>78</v>
      </c>
      <c r="O658" t="s">
        <v>74</v>
      </c>
      <c r="P658" t="s">
        <v>74</v>
      </c>
      <c r="Q658" t="s">
        <v>74</v>
      </c>
      <c r="R658" t="s">
        <v>74</v>
      </c>
      <c r="S658" t="s">
        <v>74</v>
      </c>
      <c r="T658" t="s">
        <v>74</v>
      </c>
      <c r="U658" t="s">
        <v>8011</v>
      </c>
      <c r="V658" t="s">
        <v>8012</v>
      </c>
      <c r="W658" t="s">
        <v>8013</v>
      </c>
      <c r="X658" t="s">
        <v>8014</v>
      </c>
      <c r="Y658" t="s">
        <v>8015</v>
      </c>
      <c r="Z658" t="s">
        <v>74</v>
      </c>
      <c r="AA658" t="s">
        <v>8016</v>
      </c>
      <c r="AB658" t="s">
        <v>8017</v>
      </c>
      <c r="AC658" t="s">
        <v>74</v>
      </c>
      <c r="AD658" t="s">
        <v>74</v>
      </c>
      <c r="AE658" t="s">
        <v>74</v>
      </c>
      <c r="AF658" t="s">
        <v>74</v>
      </c>
      <c r="AG658">
        <v>89</v>
      </c>
      <c r="AH658">
        <v>100</v>
      </c>
      <c r="AI658">
        <v>108</v>
      </c>
      <c r="AJ658">
        <v>1</v>
      </c>
      <c r="AK658">
        <v>36</v>
      </c>
      <c r="AL658" t="s">
        <v>87</v>
      </c>
      <c r="AM658" t="s">
        <v>88</v>
      </c>
      <c r="AN658" t="s">
        <v>7533</v>
      </c>
      <c r="AO658" t="s">
        <v>74</v>
      </c>
      <c r="AP658" t="s">
        <v>74</v>
      </c>
      <c r="AQ658" t="s">
        <v>74</v>
      </c>
      <c r="AR658" t="s">
        <v>92</v>
      </c>
      <c r="AS658" t="s">
        <v>93</v>
      </c>
      <c r="AT658" t="s">
        <v>7895</v>
      </c>
      <c r="AU658">
        <v>1997</v>
      </c>
      <c r="AV658">
        <v>102</v>
      </c>
      <c r="AW658" t="s">
        <v>7896</v>
      </c>
      <c r="AX658" t="s">
        <v>74</v>
      </c>
      <c r="AY658" t="s">
        <v>74</v>
      </c>
      <c r="AZ658" t="s">
        <v>74</v>
      </c>
      <c r="BA658" t="s">
        <v>74</v>
      </c>
      <c r="BB658">
        <v>26681</v>
      </c>
      <c r="BC658">
        <v>26698</v>
      </c>
      <c r="BD658" t="s">
        <v>74</v>
      </c>
      <c r="BE658" t="s">
        <v>8018</v>
      </c>
      <c r="BF658" t="str">
        <f>HYPERLINK("http://dx.doi.org/10.1029/97JC01298","http://dx.doi.org/10.1029/97JC01298")</f>
        <v>http://dx.doi.org/10.1029/97JC01298</v>
      </c>
      <c r="BG658" t="s">
        <v>74</v>
      </c>
      <c r="BH658" t="s">
        <v>74</v>
      </c>
      <c r="BI658">
        <v>18</v>
      </c>
      <c r="BJ658" t="s">
        <v>97</v>
      </c>
      <c r="BK658" t="s">
        <v>98</v>
      </c>
      <c r="BL658" t="s">
        <v>97</v>
      </c>
      <c r="BM658" t="s">
        <v>7898</v>
      </c>
      <c r="BN658" t="s">
        <v>74</v>
      </c>
      <c r="BO658" t="s">
        <v>74</v>
      </c>
      <c r="BP658" t="s">
        <v>74</v>
      </c>
      <c r="BQ658" t="s">
        <v>74</v>
      </c>
      <c r="BR658" t="s">
        <v>101</v>
      </c>
      <c r="BS658" t="s">
        <v>8019</v>
      </c>
      <c r="BT658" t="str">
        <f>HYPERLINK("https%3A%2F%2Fwww.webofscience.com%2Fwos%2Fwoscc%2Ffull-record%2FWOS:A1997YJ67100032","View Full Record in Web of Science")</f>
        <v>View Full Record in Web of Science</v>
      </c>
    </row>
    <row r="659" spans="1:72" x14ac:dyDescent="0.15">
      <c r="A659" t="s">
        <v>72</v>
      </c>
      <c r="B659" t="s">
        <v>8020</v>
      </c>
      <c r="C659" t="s">
        <v>74</v>
      </c>
      <c r="D659" t="s">
        <v>74</v>
      </c>
      <c r="E659" t="s">
        <v>74</v>
      </c>
      <c r="F659" t="s">
        <v>8020</v>
      </c>
      <c r="G659" t="s">
        <v>74</v>
      </c>
      <c r="H659" t="s">
        <v>74</v>
      </c>
      <c r="I659" t="s">
        <v>8021</v>
      </c>
      <c r="J659" t="s">
        <v>76</v>
      </c>
      <c r="K659" t="s">
        <v>74</v>
      </c>
      <c r="L659" t="s">
        <v>74</v>
      </c>
      <c r="M659" t="s">
        <v>77</v>
      </c>
      <c r="N659" t="s">
        <v>78</v>
      </c>
      <c r="O659" t="s">
        <v>74</v>
      </c>
      <c r="P659" t="s">
        <v>74</v>
      </c>
      <c r="Q659" t="s">
        <v>74</v>
      </c>
      <c r="R659" t="s">
        <v>74</v>
      </c>
      <c r="S659" t="s">
        <v>74</v>
      </c>
      <c r="T659" t="s">
        <v>74</v>
      </c>
      <c r="U659" t="s">
        <v>8022</v>
      </c>
      <c r="V659" t="s">
        <v>8023</v>
      </c>
      <c r="W659" t="s">
        <v>8024</v>
      </c>
      <c r="X659" t="s">
        <v>8025</v>
      </c>
      <c r="Y659" t="s">
        <v>8026</v>
      </c>
      <c r="Z659" t="s">
        <v>74</v>
      </c>
      <c r="AA659" t="s">
        <v>74</v>
      </c>
      <c r="AB659" t="s">
        <v>74</v>
      </c>
      <c r="AC659" t="s">
        <v>74</v>
      </c>
      <c r="AD659" t="s">
        <v>74</v>
      </c>
      <c r="AE659" t="s">
        <v>74</v>
      </c>
      <c r="AF659" t="s">
        <v>74</v>
      </c>
      <c r="AG659">
        <v>42</v>
      </c>
      <c r="AH659">
        <v>215</v>
      </c>
      <c r="AI659">
        <v>231</v>
      </c>
      <c r="AJ659">
        <v>0</v>
      </c>
      <c r="AK659">
        <v>31</v>
      </c>
      <c r="AL659" t="s">
        <v>87</v>
      </c>
      <c r="AM659" t="s">
        <v>88</v>
      </c>
      <c r="AN659" t="s">
        <v>7533</v>
      </c>
      <c r="AO659" t="s">
        <v>74</v>
      </c>
      <c r="AP659" t="s">
        <v>74</v>
      </c>
      <c r="AQ659" t="s">
        <v>74</v>
      </c>
      <c r="AR659" t="s">
        <v>92</v>
      </c>
      <c r="AS659" t="s">
        <v>93</v>
      </c>
      <c r="AT659" t="s">
        <v>7895</v>
      </c>
      <c r="AU659">
        <v>1997</v>
      </c>
      <c r="AV659">
        <v>102</v>
      </c>
      <c r="AW659" t="s">
        <v>7896</v>
      </c>
      <c r="AX659" t="s">
        <v>74</v>
      </c>
      <c r="AY659" t="s">
        <v>74</v>
      </c>
      <c r="AZ659" t="s">
        <v>74</v>
      </c>
      <c r="BA659" t="s">
        <v>74</v>
      </c>
      <c r="BB659">
        <v>26699</v>
      </c>
      <c r="BC659">
        <v>26706</v>
      </c>
      <c r="BD659" t="s">
        <v>74</v>
      </c>
      <c r="BE659" t="s">
        <v>8027</v>
      </c>
      <c r="BF659" t="str">
        <f>HYPERLINK("http://dx.doi.org/10.1029/97JC01282","http://dx.doi.org/10.1029/97JC01282")</f>
        <v>http://dx.doi.org/10.1029/97JC01282</v>
      </c>
      <c r="BG659" t="s">
        <v>74</v>
      </c>
      <c r="BH659" t="s">
        <v>74</v>
      </c>
      <c r="BI659">
        <v>8</v>
      </c>
      <c r="BJ659" t="s">
        <v>97</v>
      </c>
      <c r="BK659" t="s">
        <v>98</v>
      </c>
      <c r="BL659" t="s">
        <v>97</v>
      </c>
      <c r="BM659" t="s">
        <v>7898</v>
      </c>
      <c r="BN659" t="s">
        <v>74</v>
      </c>
      <c r="BO659" t="s">
        <v>100</v>
      </c>
      <c r="BP659" t="s">
        <v>74</v>
      </c>
      <c r="BQ659" t="s">
        <v>74</v>
      </c>
      <c r="BR659" t="s">
        <v>101</v>
      </c>
      <c r="BS659" t="s">
        <v>8028</v>
      </c>
      <c r="BT659" t="str">
        <f>HYPERLINK("https%3A%2F%2Fwww.webofscience.com%2Fwos%2Fwoscc%2Ffull-record%2FWOS:A1997YJ67100033","View Full Record in Web of Science")</f>
        <v>View Full Record in Web of Science</v>
      </c>
    </row>
    <row r="660" spans="1:72" x14ac:dyDescent="0.15">
      <c r="A660" t="s">
        <v>72</v>
      </c>
      <c r="B660" t="s">
        <v>8029</v>
      </c>
      <c r="C660" t="s">
        <v>74</v>
      </c>
      <c r="D660" t="s">
        <v>74</v>
      </c>
      <c r="E660" t="s">
        <v>74</v>
      </c>
      <c r="F660" t="s">
        <v>8029</v>
      </c>
      <c r="G660" t="s">
        <v>74</v>
      </c>
      <c r="H660" t="s">
        <v>74</v>
      </c>
      <c r="I660" t="s">
        <v>8030</v>
      </c>
      <c r="J660" t="s">
        <v>76</v>
      </c>
      <c r="K660" t="s">
        <v>74</v>
      </c>
      <c r="L660" t="s">
        <v>74</v>
      </c>
      <c r="M660" t="s">
        <v>77</v>
      </c>
      <c r="N660" t="s">
        <v>78</v>
      </c>
      <c r="O660" t="s">
        <v>74</v>
      </c>
      <c r="P660" t="s">
        <v>74</v>
      </c>
      <c r="Q660" t="s">
        <v>74</v>
      </c>
      <c r="R660" t="s">
        <v>74</v>
      </c>
      <c r="S660" t="s">
        <v>74</v>
      </c>
      <c r="T660" t="s">
        <v>74</v>
      </c>
      <c r="U660" t="s">
        <v>8031</v>
      </c>
      <c r="V660" t="s">
        <v>8032</v>
      </c>
      <c r="W660" t="s">
        <v>8033</v>
      </c>
      <c r="X660" t="s">
        <v>8034</v>
      </c>
      <c r="Y660" t="s">
        <v>74</v>
      </c>
      <c r="Z660" t="s">
        <v>74</v>
      </c>
      <c r="AA660" t="s">
        <v>74</v>
      </c>
      <c r="AB660" t="s">
        <v>74</v>
      </c>
      <c r="AC660" t="s">
        <v>74</v>
      </c>
      <c r="AD660" t="s">
        <v>74</v>
      </c>
      <c r="AE660" t="s">
        <v>74</v>
      </c>
      <c r="AF660" t="s">
        <v>74</v>
      </c>
      <c r="AG660">
        <v>38</v>
      </c>
      <c r="AH660">
        <v>218</v>
      </c>
      <c r="AI660">
        <v>229</v>
      </c>
      <c r="AJ660">
        <v>1</v>
      </c>
      <c r="AK660">
        <v>36</v>
      </c>
      <c r="AL660" t="s">
        <v>87</v>
      </c>
      <c r="AM660" t="s">
        <v>88</v>
      </c>
      <c r="AN660" t="s">
        <v>7533</v>
      </c>
      <c r="AO660" t="s">
        <v>74</v>
      </c>
      <c r="AP660" t="s">
        <v>74</v>
      </c>
      <c r="AQ660" t="s">
        <v>74</v>
      </c>
      <c r="AR660" t="s">
        <v>92</v>
      </c>
      <c r="AS660" t="s">
        <v>93</v>
      </c>
      <c r="AT660" t="s">
        <v>7895</v>
      </c>
      <c r="AU660">
        <v>1997</v>
      </c>
      <c r="AV660">
        <v>102</v>
      </c>
      <c r="AW660" t="s">
        <v>7896</v>
      </c>
      <c r="AX660" t="s">
        <v>74</v>
      </c>
      <c r="AY660" t="s">
        <v>74</v>
      </c>
      <c r="AZ660" t="s">
        <v>74</v>
      </c>
      <c r="BA660" t="s">
        <v>74</v>
      </c>
      <c r="BB660">
        <v>26783</v>
      </c>
      <c r="BC660">
        <v>26794</v>
      </c>
      <c r="BD660" t="s">
        <v>74</v>
      </c>
      <c r="BE660" t="s">
        <v>8035</v>
      </c>
      <c r="BF660" t="str">
        <f>HYPERLINK("http://dx.doi.org/10.1029/97JC01265","http://dx.doi.org/10.1029/97JC01265")</f>
        <v>http://dx.doi.org/10.1029/97JC01265</v>
      </c>
      <c r="BG660" t="s">
        <v>74</v>
      </c>
      <c r="BH660" t="s">
        <v>74</v>
      </c>
      <c r="BI660">
        <v>12</v>
      </c>
      <c r="BJ660" t="s">
        <v>97</v>
      </c>
      <c r="BK660" t="s">
        <v>98</v>
      </c>
      <c r="BL660" t="s">
        <v>97</v>
      </c>
      <c r="BM660" t="s">
        <v>7898</v>
      </c>
      <c r="BN660" t="s">
        <v>74</v>
      </c>
      <c r="BO660" t="s">
        <v>953</v>
      </c>
      <c r="BP660" t="s">
        <v>74</v>
      </c>
      <c r="BQ660" t="s">
        <v>74</v>
      </c>
      <c r="BR660" t="s">
        <v>101</v>
      </c>
      <c r="BS660" t="s">
        <v>8036</v>
      </c>
      <c r="BT660" t="str">
        <f>HYPERLINK("https%3A%2F%2Fwww.webofscience.com%2Fwos%2Fwoscc%2Ffull-record%2FWOS:A1997YJ67100040","View Full Record in Web of Science")</f>
        <v>View Full Record in Web of Science</v>
      </c>
    </row>
    <row r="661" spans="1:72" x14ac:dyDescent="0.15">
      <c r="A661" t="s">
        <v>72</v>
      </c>
      <c r="B661" t="s">
        <v>8037</v>
      </c>
      <c r="C661" t="s">
        <v>74</v>
      </c>
      <c r="D661" t="s">
        <v>74</v>
      </c>
      <c r="E661" t="s">
        <v>74</v>
      </c>
      <c r="F661" t="s">
        <v>8037</v>
      </c>
      <c r="G661" t="s">
        <v>74</v>
      </c>
      <c r="H661" t="s">
        <v>74</v>
      </c>
      <c r="I661" t="s">
        <v>8038</v>
      </c>
      <c r="J661" t="s">
        <v>76</v>
      </c>
      <c r="K661" t="s">
        <v>74</v>
      </c>
      <c r="L661" t="s">
        <v>74</v>
      </c>
      <c r="M661" t="s">
        <v>77</v>
      </c>
      <c r="N661" t="s">
        <v>78</v>
      </c>
      <c r="O661" t="s">
        <v>74</v>
      </c>
      <c r="P661" t="s">
        <v>74</v>
      </c>
      <c r="Q661" t="s">
        <v>74</v>
      </c>
      <c r="R661" t="s">
        <v>74</v>
      </c>
      <c r="S661" t="s">
        <v>74</v>
      </c>
      <c r="T661" t="s">
        <v>74</v>
      </c>
      <c r="U661" t="s">
        <v>8039</v>
      </c>
      <c r="V661" t="s">
        <v>8040</v>
      </c>
      <c r="W661" t="s">
        <v>8041</v>
      </c>
      <c r="X661" t="s">
        <v>74</v>
      </c>
      <c r="Y661" t="s">
        <v>8042</v>
      </c>
      <c r="Z661" t="s">
        <v>74</v>
      </c>
      <c r="AA661" t="s">
        <v>8043</v>
      </c>
      <c r="AB661" t="s">
        <v>74</v>
      </c>
      <c r="AC661" t="s">
        <v>74</v>
      </c>
      <c r="AD661" t="s">
        <v>74</v>
      </c>
      <c r="AE661" t="s">
        <v>74</v>
      </c>
      <c r="AF661" t="s">
        <v>74</v>
      </c>
      <c r="AG661">
        <v>56</v>
      </c>
      <c r="AH661">
        <v>52</v>
      </c>
      <c r="AI661">
        <v>60</v>
      </c>
      <c r="AJ661">
        <v>0</v>
      </c>
      <c r="AK661">
        <v>13</v>
      </c>
      <c r="AL661" t="s">
        <v>87</v>
      </c>
      <c r="AM661" t="s">
        <v>88</v>
      </c>
      <c r="AN661" t="s">
        <v>89</v>
      </c>
      <c r="AO661" t="s">
        <v>90</v>
      </c>
      <c r="AP661" t="s">
        <v>91</v>
      </c>
      <c r="AQ661" t="s">
        <v>74</v>
      </c>
      <c r="AR661" t="s">
        <v>92</v>
      </c>
      <c r="AS661" t="s">
        <v>93</v>
      </c>
      <c r="AT661" t="s">
        <v>7895</v>
      </c>
      <c r="AU661">
        <v>1997</v>
      </c>
      <c r="AV661">
        <v>102</v>
      </c>
      <c r="AW661" t="s">
        <v>7896</v>
      </c>
      <c r="AX661" t="s">
        <v>74</v>
      </c>
      <c r="AY661" t="s">
        <v>74</v>
      </c>
      <c r="AZ661" t="s">
        <v>74</v>
      </c>
      <c r="BA661" t="s">
        <v>74</v>
      </c>
      <c r="BB661">
        <v>26795</v>
      </c>
      <c r="BC661">
        <v>26807</v>
      </c>
      <c r="BD661" t="s">
        <v>74</v>
      </c>
      <c r="BE661" t="s">
        <v>8044</v>
      </c>
      <c r="BF661" t="str">
        <f>HYPERLINK("http://dx.doi.org/10.1029/96JC02303","http://dx.doi.org/10.1029/96JC02303")</f>
        <v>http://dx.doi.org/10.1029/96JC02303</v>
      </c>
      <c r="BG661" t="s">
        <v>74</v>
      </c>
      <c r="BH661" t="s">
        <v>74</v>
      </c>
      <c r="BI661">
        <v>13</v>
      </c>
      <c r="BJ661" t="s">
        <v>97</v>
      </c>
      <c r="BK661" t="s">
        <v>98</v>
      </c>
      <c r="BL661" t="s">
        <v>97</v>
      </c>
      <c r="BM661" t="s">
        <v>7898</v>
      </c>
      <c r="BN661" t="s">
        <v>74</v>
      </c>
      <c r="BO661" t="s">
        <v>7968</v>
      </c>
      <c r="BP661" t="s">
        <v>74</v>
      </c>
      <c r="BQ661" t="s">
        <v>74</v>
      </c>
      <c r="BR661" t="s">
        <v>101</v>
      </c>
      <c r="BS661" t="s">
        <v>8045</v>
      </c>
      <c r="BT661" t="str">
        <f>HYPERLINK("https%3A%2F%2Fwww.webofscience.com%2Fwos%2Fwoscc%2Ffull-record%2FWOS:A1997YJ67100041","View Full Record in Web of Science")</f>
        <v>View Full Record in Web of Science</v>
      </c>
    </row>
    <row r="662" spans="1:72" x14ac:dyDescent="0.15">
      <c r="A662" t="s">
        <v>72</v>
      </c>
      <c r="B662" t="s">
        <v>8046</v>
      </c>
      <c r="C662" t="s">
        <v>74</v>
      </c>
      <c r="D662" t="s">
        <v>74</v>
      </c>
      <c r="E662" t="s">
        <v>74</v>
      </c>
      <c r="F662" t="s">
        <v>8046</v>
      </c>
      <c r="G662" t="s">
        <v>74</v>
      </c>
      <c r="H662" t="s">
        <v>74</v>
      </c>
      <c r="I662" t="s">
        <v>8047</v>
      </c>
      <c r="J662" t="s">
        <v>994</v>
      </c>
      <c r="K662" t="s">
        <v>74</v>
      </c>
      <c r="L662" t="s">
        <v>74</v>
      </c>
      <c r="M662" t="s">
        <v>77</v>
      </c>
      <c r="N662" t="s">
        <v>78</v>
      </c>
      <c r="O662" t="s">
        <v>74</v>
      </c>
      <c r="P662" t="s">
        <v>74</v>
      </c>
      <c r="Q662" t="s">
        <v>74</v>
      </c>
      <c r="R662" t="s">
        <v>74</v>
      </c>
      <c r="S662" t="s">
        <v>74</v>
      </c>
      <c r="T662" t="s">
        <v>74</v>
      </c>
      <c r="U662" t="s">
        <v>8048</v>
      </c>
      <c r="V662" t="s">
        <v>8049</v>
      </c>
      <c r="W662" t="s">
        <v>74</v>
      </c>
      <c r="X662" t="s">
        <v>74</v>
      </c>
      <c r="Y662" t="s">
        <v>8050</v>
      </c>
      <c r="Z662" t="s">
        <v>74</v>
      </c>
      <c r="AA662" t="s">
        <v>74</v>
      </c>
      <c r="AB662" t="s">
        <v>74</v>
      </c>
      <c r="AC662" t="s">
        <v>74</v>
      </c>
      <c r="AD662" t="s">
        <v>74</v>
      </c>
      <c r="AE662" t="s">
        <v>74</v>
      </c>
      <c r="AF662" t="s">
        <v>74</v>
      </c>
      <c r="AG662">
        <v>45</v>
      </c>
      <c r="AH662">
        <v>55</v>
      </c>
      <c r="AI662">
        <v>55</v>
      </c>
      <c r="AJ662">
        <v>0</v>
      </c>
      <c r="AK662">
        <v>2</v>
      </c>
      <c r="AL662" t="s">
        <v>87</v>
      </c>
      <c r="AM662" t="s">
        <v>88</v>
      </c>
      <c r="AN662" t="s">
        <v>89</v>
      </c>
      <c r="AO662" t="s">
        <v>1001</v>
      </c>
      <c r="AP662" t="s">
        <v>74</v>
      </c>
      <c r="AQ662" t="s">
        <v>74</v>
      </c>
      <c r="AR662" t="s">
        <v>1002</v>
      </c>
      <c r="AS662" t="s">
        <v>1003</v>
      </c>
      <c r="AT662" t="s">
        <v>8051</v>
      </c>
      <c r="AU662">
        <v>1997</v>
      </c>
      <c r="AV662">
        <v>102</v>
      </c>
      <c r="AW662" t="s">
        <v>8052</v>
      </c>
      <c r="AX662" t="s">
        <v>74</v>
      </c>
      <c r="AY662" t="s">
        <v>74</v>
      </c>
      <c r="AZ662" t="s">
        <v>74</v>
      </c>
      <c r="BA662" t="s">
        <v>74</v>
      </c>
      <c r="BB662">
        <v>25721</v>
      </c>
      <c r="BC662">
        <v>25735</v>
      </c>
      <c r="BD662" t="s">
        <v>74</v>
      </c>
      <c r="BE662" t="s">
        <v>8053</v>
      </c>
      <c r="BF662" t="str">
        <f>HYPERLINK("http://dx.doi.org/10.1029/97JD02153","http://dx.doi.org/10.1029/97JD02153")</f>
        <v>http://dx.doi.org/10.1029/97JD02153</v>
      </c>
      <c r="BG662" t="s">
        <v>74</v>
      </c>
      <c r="BH662" t="s">
        <v>74</v>
      </c>
      <c r="BI662">
        <v>15</v>
      </c>
      <c r="BJ662" t="s">
        <v>635</v>
      </c>
      <c r="BK662" t="s">
        <v>98</v>
      </c>
      <c r="BL662" t="s">
        <v>635</v>
      </c>
      <c r="BM662" t="s">
        <v>8054</v>
      </c>
      <c r="BN662" t="s">
        <v>74</v>
      </c>
      <c r="BO662" t="s">
        <v>74</v>
      </c>
      <c r="BP662" t="s">
        <v>74</v>
      </c>
      <c r="BQ662" t="s">
        <v>74</v>
      </c>
      <c r="BR662" t="s">
        <v>101</v>
      </c>
      <c r="BS662" t="s">
        <v>8055</v>
      </c>
      <c r="BT662" t="str">
        <f>HYPERLINK("https%3A%2F%2Fwww.webofscience.com%2Fwos%2Fwoscc%2Ffull-record%2FWOS:A1997YH59300003","View Full Record in Web of Science")</f>
        <v>View Full Record in Web of Science</v>
      </c>
    </row>
    <row r="663" spans="1:72" x14ac:dyDescent="0.15">
      <c r="A663" t="s">
        <v>72</v>
      </c>
      <c r="B663" t="s">
        <v>8056</v>
      </c>
      <c r="C663" t="s">
        <v>74</v>
      </c>
      <c r="D663" t="s">
        <v>74</v>
      </c>
      <c r="E663" t="s">
        <v>74</v>
      </c>
      <c r="F663" t="s">
        <v>8056</v>
      </c>
      <c r="G663" t="s">
        <v>74</v>
      </c>
      <c r="H663" t="s">
        <v>74</v>
      </c>
      <c r="I663" t="s">
        <v>8057</v>
      </c>
      <c r="J663" t="s">
        <v>8058</v>
      </c>
      <c r="K663" t="s">
        <v>74</v>
      </c>
      <c r="L663" t="s">
        <v>74</v>
      </c>
      <c r="M663" t="s">
        <v>77</v>
      </c>
      <c r="N663" t="s">
        <v>78</v>
      </c>
      <c r="O663" t="s">
        <v>74</v>
      </c>
      <c r="P663" t="s">
        <v>74</v>
      </c>
      <c r="Q663" t="s">
        <v>74</v>
      </c>
      <c r="R663" t="s">
        <v>74</v>
      </c>
      <c r="S663" t="s">
        <v>74</v>
      </c>
      <c r="T663" t="s">
        <v>8059</v>
      </c>
      <c r="U663" t="s">
        <v>8060</v>
      </c>
      <c r="V663" t="s">
        <v>8061</v>
      </c>
      <c r="W663" t="s">
        <v>8062</v>
      </c>
      <c r="X663" t="s">
        <v>8063</v>
      </c>
      <c r="Y663" t="s">
        <v>8064</v>
      </c>
      <c r="Z663" t="s">
        <v>74</v>
      </c>
      <c r="AA663" t="s">
        <v>8065</v>
      </c>
      <c r="AB663" t="s">
        <v>8066</v>
      </c>
      <c r="AC663" t="s">
        <v>74</v>
      </c>
      <c r="AD663" t="s">
        <v>74</v>
      </c>
      <c r="AE663" t="s">
        <v>74</v>
      </c>
      <c r="AF663" t="s">
        <v>74</v>
      </c>
      <c r="AG663">
        <v>14</v>
      </c>
      <c r="AH663">
        <v>39</v>
      </c>
      <c r="AI663">
        <v>45</v>
      </c>
      <c r="AJ663">
        <v>0</v>
      </c>
      <c r="AK663">
        <v>20</v>
      </c>
      <c r="AL663" t="s">
        <v>1029</v>
      </c>
      <c r="AM663" t="s">
        <v>1030</v>
      </c>
      <c r="AN663" t="s">
        <v>1031</v>
      </c>
      <c r="AO663" t="s">
        <v>8067</v>
      </c>
      <c r="AP663" t="s">
        <v>74</v>
      </c>
      <c r="AQ663" t="s">
        <v>74</v>
      </c>
      <c r="AR663" t="s">
        <v>8068</v>
      </c>
      <c r="AS663" t="s">
        <v>8069</v>
      </c>
      <c r="AT663" t="s">
        <v>8051</v>
      </c>
      <c r="AU663">
        <v>1997</v>
      </c>
      <c r="AV663">
        <v>207</v>
      </c>
      <c r="AW663" t="s">
        <v>1508</v>
      </c>
      <c r="AX663" t="s">
        <v>74</v>
      </c>
      <c r="AY663" t="s">
        <v>74</v>
      </c>
      <c r="AZ663" t="s">
        <v>74</v>
      </c>
      <c r="BA663" t="s">
        <v>74</v>
      </c>
      <c r="BB663">
        <v>187</v>
      </c>
      <c r="BC663">
        <v>194</v>
      </c>
      <c r="BD663" t="s">
        <v>74</v>
      </c>
      <c r="BE663" t="s">
        <v>8070</v>
      </c>
      <c r="BF663" t="str">
        <f>HYPERLINK("http://dx.doi.org/10.1016/S0048-9697(97)00265-9","http://dx.doi.org/10.1016/S0048-9697(97)00265-9")</f>
        <v>http://dx.doi.org/10.1016/S0048-9697(97)00265-9</v>
      </c>
      <c r="BG663" t="s">
        <v>74</v>
      </c>
      <c r="BH663" t="s">
        <v>74</v>
      </c>
      <c r="BI663">
        <v>8</v>
      </c>
      <c r="BJ663" t="s">
        <v>5050</v>
      </c>
      <c r="BK663" t="s">
        <v>98</v>
      </c>
      <c r="BL663" t="s">
        <v>1545</v>
      </c>
      <c r="BM663" t="s">
        <v>8071</v>
      </c>
      <c r="BN663">
        <v>9447747</v>
      </c>
      <c r="BO663" t="s">
        <v>74</v>
      </c>
      <c r="BP663" t="s">
        <v>74</v>
      </c>
      <c r="BQ663" t="s">
        <v>74</v>
      </c>
      <c r="BR663" t="s">
        <v>101</v>
      </c>
      <c r="BS663" t="s">
        <v>8072</v>
      </c>
      <c r="BT663" t="str">
        <f>HYPERLINK("https%3A%2F%2Fwww.webofscience.com%2Fwos%2Fwoscc%2Ffull-record%2FWOS:000071283800012","View Full Record in Web of Science")</f>
        <v>View Full Record in Web of Science</v>
      </c>
    </row>
    <row r="664" spans="1:72" x14ac:dyDescent="0.15">
      <c r="A664" t="s">
        <v>72</v>
      </c>
      <c r="B664" t="s">
        <v>8073</v>
      </c>
      <c r="C664" t="s">
        <v>74</v>
      </c>
      <c r="D664" t="s">
        <v>74</v>
      </c>
      <c r="E664" t="s">
        <v>74</v>
      </c>
      <c r="F664" t="s">
        <v>8073</v>
      </c>
      <c r="G664" t="s">
        <v>74</v>
      </c>
      <c r="H664" t="s">
        <v>74</v>
      </c>
      <c r="I664" t="s">
        <v>8074</v>
      </c>
      <c r="J664" t="s">
        <v>8075</v>
      </c>
      <c r="K664" t="s">
        <v>74</v>
      </c>
      <c r="L664" t="s">
        <v>74</v>
      </c>
      <c r="M664" t="s">
        <v>77</v>
      </c>
      <c r="N664" t="s">
        <v>78</v>
      </c>
      <c r="O664" t="s">
        <v>74</v>
      </c>
      <c r="P664" t="s">
        <v>74</v>
      </c>
      <c r="Q664" t="s">
        <v>74</v>
      </c>
      <c r="R664" t="s">
        <v>74</v>
      </c>
      <c r="S664" t="s">
        <v>74</v>
      </c>
      <c r="T664" t="s">
        <v>8076</v>
      </c>
      <c r="U664" t="s">
        <v>8077</v>
      </c>
      <c r="V664" t="s">
        <v>8078</v>
      </c>
      <c r="W664" t="s">
        <v>2693</v>
      </c>
      <c r="X664" t="s">
        <v>1714</v>
      </c>
      <c r="Y664" t="s">
        <v>8079</v>
      </c>
      <c r="Z664" t="s">
        <v>74</v>
      </c>
      <c r="AA664" t="s">
        <v>8080</v>
      </c>
      <c r="AB664" t="s">
        <v>8081</v>
      </c>
      <c r="AC664" t="s">
        <v>74</v>
      </c>
      <c r="AD664" t="s">
        <v>74</v>
      </c>
      <c r="AE664" t="s">
        <v>74</v>
      </c>
      <c r="AF664" t="s">
        <v>74</v>
      </c>
      <c r="AG664">
        <v>28</v>
      </c>
      <c r="AH664">
        <v>41</v>
      </c>
      <c r="AI664">
        <v>43</v>
      </c>
      <c r="AJ664">
        <v>1</v>
      </c>
      <c r="AK664">
        <v>11</v>
      </c>
      <c r="AL664" t="s">
        <v>1029</v>
      </c>
      <c r="AM664" t="s">
        <v>1030</v>
      </c>
      <c r="AN664" t="s">
        <v>1031</v>
      </c>
      <c r="AO664" t="s">
        <v>8082</v>
      </c>
      <c r="AP664" t="s">
        <v>74</v>
      </c>
      <c r="AQ664" t="s">
        <v>74</v>
      </c>
      <c r="AR664" t="s">
        <v>8083</v>
      </c>
      <c r="AS664" t="s">
        <v>8084</v>
      </c>
      <c r="AT664" t="s">
        <v>8085</v>
      </c>
      <c r="AU664">
        <v>1997</v>
      </c>
      <c r="AV664">
        <v>789</v>
      </c>
      <c r="AW664" t="s">
        <v>4809</v>
      </c>
      <c r="AX664" t="s">
        <v>74</v>
      </c>
      <c r="AY664" t="s">
        <v>74</v>
      </c>
      <c r="AZ664" t="s">
        <v>74</v>
      </c>
      <c r="BA664" t="s">
        <v>74</v>
      </c>
      <c r="BB664">
        <v>329</v>
      </c>
      <c r="BC664">
        <v>337</v>
      </c>
      <c r="BD664" t="s">
        <v>74</v>
      </c>
      <c r="BE664" t="s">
        <v>8086</v>
      </c>
      <c r="BF664" t="str">
        <f>HYPERLINK("http://dx.doi.org/10.1016/S0021-9673(97)00660-2","http://dx.doi.org/10.1016/S0021-9673(97)00660-2")</f>
        <v>http://dx.doi.org/10.1016/S0021-9673(97)00660-2</v>
      </c>
      <c r="BG664" t="s">
        <v>74</v>
      </c>
      <c r="BH664" t="s">
        <v>74</v>
      </c>
      <c r="BI664">
        <v>9</v>
      </c>
      <c r="BJ664" t="s">
        <v>1186</v>
      </c>
      <c r="BK664" t="s">
        <v>98</v>
      </c>
      <c r="BL664" t="s">
        <v>1187</v>
      </c>
      <c r="BM664" t="s">
        <v>8087</v>
      </c>
      <c r="BN664" t="s">
        <v>74</v>
      </c>
      <c r="BO664" t="s">
        <v>8088</v>
      </c>
      <c r="BP664" t="s">
        <v>74</v>
      </c>
      <c r="BQ664" t="s">
        <v>74</v>
      </c>
      <c r="BR664" t="s">
        <v>101</v>
      </c>
      <c r="BS664" t="s">
        <v>8089</v>
      </c>
      <c r="BT664" t="str">
        <f>HYPERLINK("https%3A%2F%2Fwww.webofscience.com%2Fwos%2Fwoscc%2Ffull-record%2FWOS:000070924700030","View Full Record in Web of Science")</f>
        <v>View Full Record in Web of Science</v>
      </c>
    </row>
    <row r="665" spans="1:72" x14ac:dyDescent="0.15">
      <c r="A665" t="s">
        <v>72</v>
      </c>
      <c r="B665" t="s">
        <v>8090</v>
      </c>
      <c r="C665" t="s">
        <v>74</v>
      </c>
      <c r="D665" t="s">
        <v>74</v>
      </c>
      <c r="E665" t="s">
        <v>74</v>
      </c>
      <c r="F665" t="s">
        <v>8090</v>
      </c>
      <c r="G665" t="s">
        <v>74</v>
      </c>
      <c r="H665" t="s">
        <v>74</v>
      </c>
      <c r="I665" t="s">
        <v>8091</v>
      </c>
      <c r="J665" t="s">
        <v>994</v>
      </c>
      <c r="K665" t="s">
        <v>74</v>
      </c>
      <c r="L665" t="s">
        <v>74</v>
      </c>
      <c r="M665" t="s">
        <v>77</v>
      </c>
      <c r="N665" t="s">
        <v>78</v>
      </c>
      <c r="O665" t="s">
        <v>74</v>
      </c>
      <c r="P665" t="s">
        <v>74</v>
      </c>
      <c r="Q665" t="s">
        <v>74</v>
      </c>
      <c r="R665" t="s">
        <v>74</v>
      </c>
      <c r="S665" t="s">
        <v>74</v>
      </c>
      <c r="T665" t="s">
        <v>74</v>
      </c>
      <c r="U665" t="s">
        <v>8092</v>
      </c>
      <c r="V665" t="s">
        <v>8093</v>
      </c>
      <c r="W665" t="s">
        <v>74</v>
      </c>
      <c r="X665" t="s">
        <v>74</v>
      </c>
      <c r="Y665" t="s">
        <v>8094</v>
      </c>
      <c r="Z665" t="s">
        <v>74</v>
      </c>
      <c r="AA665" t="s">
        <v>8095</v>
      </c>
      <c r="AB665" t="s">
        <v>8096</v>
      </c>
      <c r="AC665" t="s">
        <v>74</v>
      </c>
      <c r="AD665" t="s">
        <v>74</v>
      </c>
      <c r="AE665" t="s">
        <v>74</v>
      </c>
      <c r="AF665" t="s">
        <v>74</v>
      </c>
      <c r="AG665">
        <v>61</v>
      </c>
      <c r="AH665">
        <v>17</v>
      </c>
      <c r="AI665">
        <v>18</v>
      </c>
      <c r="AJ665">
        <v>1</v>
      </c>
      <c r="AK665">
        <v>6</v>
      </c>
      <c r="AL665" t="s">
        <v>87</v>
      </c>
      <c r="AM665" t="s">
        <v>88</v>
      </c>
      <c r="AN665" t="s">
        <v>89</v>
      </c>
      <c r="AO665" t="s">
        <v>1001</v>
      </c>
      <c r="AP665" t="s">
        <v>2036</v>
      </c>
      <c r="AQ665" t="s">
        <v>74</v>
      </c>
      <c r="AR665" t="s">
        <v>1002</v>
      </c>
      <c r="AS665" t="s">
        <v>1003</v>
      </c>
      <c r="AT665" t="s">
        <v>8097</v>
      </c>
      <c r="AU665">
        <v>1997</v>
      </c>
      <c r="AV665">
        <v>102</v>
      </c>
      <c r="AW665" t="s">
        <v>8098</v>
      </c>
      <c r="AX665" t="s">
        <v>74</v>
      </c>
      <c r="AY665" t="s">
        <v>74</v>
      </c>
      <c r="AZ665" t="s">
        <v>74</v>
      </c>
      <c r="BA665" t="s">
        <v>74</v>
      </c>
      <c r="BB665">
        <v>25487</v>
      </c>
      <c r="BC665">
        <v>25500</v>
      </c>
      <c r="BD665" t="s">
        <v>74</v>
      </c>
      <c r="BE665" t="s">
        <v>8099</v>
      </c>
      <c r="BF665" t="str">
        <f>HYPERLINK("http://dx.doi.org/10.1029/97JD01842","http://dx.doi.org/10.1029/97JD01842")</f>
        <v>http://dx.doi.org/10.1029/97JD01842</v>
      </c>
      <c r="BG665" t="s">
        <v>74</v>
      </c>
      <c r="BH665" t="s">
        <v>74</v>
      </c>
      <c r="BI665">
        <v>14</v>
      </c>
      <c r="BJ665" t="s">
        <v>635</v>
      </c>
      <c r="BK665" t="s">
        <v>98</v>
      </c>
      <c r="BL665" t="s">
        <v>635</v>
      </c>
      <c r="BM665" t="s">
        <v>8100</v>
      </c>
      <c r="BN665" t="s">
        <v>74</v>
      </c>
      <c r="BO665" t="s">
        <v>100</v>
      </c>
      <c r="BP665" t="s">
        <v>74</v>
      </c>
      <c r="BQ665" t="s">
        <v>74</v>
      </c>
      <c r="BR665" t="s">
        <v>101</v>
      </c>
      <c r="BS665" t="s">
        <v>8101</v>
      </c>
      <c r="BT665" t="str">
        <f>HYPERLINK("https%3A%2F%2Fwww.webofscience.com%2Fwos%2Fwoscc%2Ffull-record%2FWOS:A1997YH54800017","View Full Record in Web of Science")</f>
        <v>View Full Record in Web of Science</v>
      </c>
    </row>
    <row r="666" spans="1:72" x14ac:dyDescent="0.15">
      <c r="A666" t="s">
        <v>72</v>
      </c>
      <c r="B666" t="s">
        <v>8102</v>
      </c>
      <c r="C666" t="s">
        <v>74</v>
      </c>
      <c r="D666" t="s">
        <v>74</v>
      </c>
      <c r="E666" t="s">
        <v>74</v>
      </c>
      <c r="F666" t="s">
        <v>8102</v>
      </c>
      <c r="G666" t="s">
        <v>74</v>
      </c>
      <c r="H666" t="s">
        <v>74</v>
      </c>
      <c r="I666" t="s">
        <v>8103</v>
      </c>
      <c r="J666" t="s">
        <v>1023</v>
      </c>
      <c r="K666" t="s">
        <v>74</v>
      </c>
      <c r="L666" t="s">
        <v>74</v>
      </c>
      <c r="M666" t="s">
        <v>77</v>
      </c>
      <c r="N666" t="s">
        <v>78</v>
      </c>
      <c r="O666" t="s">
        <v>74</v>
      </c>
      <c r="P666" t="s">
        <v>74</v>
      </c>
      <c r="Q666" t="s">
        <v>74</v>
      </c>
      <c r="R666" t="s">
        <v>74</v>
      </c>
      <c r="S666" t="s">
        <v>74</v>
      </c>
      <c r="T666" t="s">
        <v>8104</v>
      </c>
      <c r="U666" t="s">
        <v>8105</v>
      </c>
      <c r="V666" t="s">
        <v>8106</v>
      </c>
      <c r="W666" t="s">
        <v>8107</v>
      </c>
      <c r="X666" t="s">
        <v>8108</v>
      </c>
      <c r="Y666" t="s">
        <v>4282</v>
      </c>
      <c r="Z666" t="s">
        <v>74</v>
      </c>
      <c r="AA666" t="s">
        <v>6844</v>
      </c>
      <c r="AB666" t="s">
        <v>74</v>
      </c>
      <c r="AC666" t="s">
        <v>74</v>
      </c>
      <c r="AD666" t="s">
        <v>74</v>
      </c>
      <c r="AE666" t="s">
        <v>74</v>
      </c>
      <c r="AF666" t="s">
        <v>74</v>
      </c>
      <c r="AG666">
        <v>56</v>
      </c>
      <c r="AH666">
        <v>14</v>
      </c>
      <c r="AI666">
        <v>15</v>
      </c>
      <c r="AJ666">
        <v>0</v>
      </c>
      <c r="AK666">
        <v>1</v>
      </c>
      <c r="AL666" t="s">
        <v>1029</v>
      </c>
      <c r="AM666" t="s">
        <v>1030</v>
      </c>
      <c r="AN666" t="s">
        <v>1031</v>
      </c>
      <c r="AO666" t="s">
        <v>1032</v>
      </c>
      <c r="AP666" t="s">
        <v>74</v>
      </c>
      <c r="AQ666" t="s">
        <v>74</v>
      </c>
      <c r="AR666" t="s">
        <v>1033</v>
      </c>
      <c r="AS666" t="s">
        <v>1034</v>
      </c>
      <c r="AT666" t="s">
        <v>8109</v>
      </c>
      <c r="AU666">
        <v>1997</v>
      </c>
      <c r="AV666">
        <v>143</v>
      </c>
      <c r="AW666" t="s">
        <v>4809</v>
      </c>
      <c r="AX666" t="s">
        <v>74</v>
      </c>
      <c r="AY666" t="s">
        <v>74</v>
      </c>
      <c r="AZ666" t="s">
        <v>74</v>
      </c>
      <c r="BA666" t="s">
        <v>74</v>
      </c>
      <c r="BB666">
        <v>65</v>
      </c>
      <c r="BC666">
        <v>80</v>
      </c>
      <c r="BD666" t="s">
        <v>74</v>
      </c>
      <c r="BE666" t="s">
        <v>8110</v>
      </c>
      <c r="BF666" t="str">
        <f>HYPERLINK("http://dx.doi.org/10.1016/S0009-2541(97)00100-9","http://dx.doi.org/10.1016/S0009-2541(97)00100-9")</f>
        <v>http://dx.doi.org/10.1016/S0009-2541(97)00100-9</v>
      </c>
      <c r="BG666" t="s">
        <v>74</v>
      </c>
      <c r="BH666" t="s">
        <v>74</v>
      </c>
      <c r="BI666">
        <v>16</v>
      </c>
      <c r="BJ666" t="s">
        <v>143</v>
      </c>
      <c r="BK666" t="s">
        <v>98</v>
      </c>
      <c r="BL666" t="s">
        <v>143</v>
      </c>
      <c r="BM666" t="s">
        <v>8111</v>
      </c>
      <c r="BN666" t="s">
        <v>74</v>
      </c>
      <c r="BO666" t="s">
        <v>74</v>
      </c>
      <c r="BP666" t="s">
        <v>74</v>
      </c>
      <c r="BQ666" t="s">
        <v>74</v>
      </c>
      <c r="BR666" t="s">
        <v>101</v>
      </c>
      <c r="BS666" t="s">
        <v>8112</v>
      </c>
      <c r="BT666" t="str">
        <f>HYPERLINK("https%3A%2F%2Fwww.webofscience.com%2Fwos%2Fwoscc%2Ffull-record%2FWOS:000071129100005","View Full Record in Web of Science")</f>
        <v>View Full Record in Web of Science</v>
      </c>
    </row>
    <row r="667" spans="1:72" x14ac:dyDescent="0.15">
      <c r="A667" t="s">
        <v>72</v>
      </c>
      <c r="B667" t="s">
        <v>8113</v>
      </c>
      <c r="C667" t="s">
        <v>74</v>
      </c>
      <c r="D667" t="s">
        <v>74</v>
      </c>
      <c r="E667" t="s">
        <v>74</v>
      </c>
      <c r="F667" t="s">
        <v>8113</v>
      </c>
      <c r="G667" t="s">
        <v>74</v>
      </c>
      <c r="H667" t="s">
        <v>74</v>
      </c>
      <c r="I667" t="s">
        <v>8114</v>
      </c>
      <c r="J667" t="s">
        <v>1581</v>
      </c>
      <c r="K667" t="s">
        <v>74</v>
      </c>
      <c r="L667" t="s">
        <v>74</v>
      </c>
      <c r="M667" t="s">
        <v>77</v>
      </c>
      <c r="N667" t="s">
        <v>78</v>
      </c>
      <c r="O667" t="s">
        <v>74</v>
      </c>
      <c r="P667" t="s">
        <v>74</v>
      </c>
      <c r="Q667" t="s">
        <v>74</v>
      </c>
      <c r="R667" t="s">
        <v>74</v>
      </c>
      <c r="S667" t="s">
        <v>74</v>
      </c>
      <c r="T667" t="s">
        <v>74</v>
      </c>
      <c r="U667" t="s">
        <v>8115</v>
      </c>
      <c r="V667" t="s">
        <v>8116</v>
      </c>
      <c r="W667" t="s">
        <v>8117</v>
      </c>
      <c r="X667" t="s">
        <v>74</v>
      </c>
      <c r="Y667" t="s">
        <v>8118</v>
      </c>
      <c r="Z667" t="s">
        <v>74</v>
      </c>
      <c r="AA667" t="s">
        <v>8119</v>
      </c>
      <c r="AB667" t="s">
        <v>8120</v>
      </c>
      <c r="AC667" t="s">
        <v>74</v>
      </c>
      <c r="AD667" t="s">
        <v>74</v>
      </c>
      <c r="AE667" t="s">
        <v>74</v>
      </c>
      <c r="AF667" t="s">
        <v>74</v>
      </c>
      <c r="AG667">
        <v>16</v>
      </c>
      <c r="AH667">
        <v>152</v>
      </c>
      <c r="AI667">
        <v>158</v>
      </c>
      <c r="AJ667">
        <v>0</v>
      </c>
      <c r="AK667">
        <v>6</v>
      </c>
      <c r="AL667" t="s">
        <v>87</v>
      </c>
      <c r="AM667" t="s">
        <v>88</v>
      </c>
      <c r="AN667" t="s">
        <v>7533</v>
      </c>
      <c r="AO667" t="s">
        <v>1589</v>
      </c>
      <c r="AP667" t="s">
        <v>74</v>
      </c>
      <c r="AQ667" t="s">
        <v>74</v>
      </c>
      <c r="AR667" t="s">
        <v>1590</v>
      </c>
      <c r="AS667" t="s">
        <v>1591</v>
      </c>
      <c r="AT667" t="s">
        <v>8121</v>
      </c>
      <c r="AU667">
        <v>1997</v>
      </c>
      <c r="AV667">
        <v>24</v>
      </c>
      <c r="AW667">
        <v>22</v>
      </c>
      <c r="AX667" t="s">
        <v>74</v>
      </c>
      <c r="AY667" t="s">
        <v>74</v>
      </c>
      <c r="AZ667" t="s">
        <v>74</v>
      </c>
      <c r="BA667" t="s">
        <v>74</v>
      </c>
      <c r="BB667">
        <v>2693</v>
      </c>
      <c r="BC667">
        <v>2696</v>
      </c>
      <c r="BD667" t="s">
        <v>74</v>
      </c>
      <c r="BE667" t="s">
        <v>8122</v>
      </c>
      <c r="BF667" t="str">
        <f>HYPERLINK("http://dx.doi.org/10.1029/97GL52832","http://dx.doi.org/10.1029/97GL52832")</f>
        <v>http://dx.doi.org/10.1029/97GL52832</v>
      </c>
      <c r="BG667" t="s">
        <v>74</v>
      </c>
      <c r="BH667" t="s">
        <v>74</v>
      </c>
      <c r="BI667">
        <v>4</v>
      </c>
      <c r="BJ667" t="s">
        <v>769</v>
      </c>
      <c r="BK667" t="s">
        <v>98</v>
      </c>
      <c r="BL667" t="s">
        <v>471</v>
      </c>
      <c r="BM667" t="s">
        <v>8123</v>
      </c>
      <c r="BN667" t="s">
        <v>74</v>
      </c>
      <c r="BO667" t="s">
        <v>74</v>
      </c>
      <c r="BP667" t="s">
        <v>74</v>
      </c>
      <c r="BQ667" t="s">
        <v>74</v>
      </c>
      <c r="BR667" t="s">
        <v>101</v>
      </c>
      <c r="BS667" t="s">
        <v>8124</v>
      </c>
      <c r="BT667" t="str">
        <f>HYPERLINK("https%3A%2F%2Fwww.webofscience.com%2Fwos%2Fwoscc%2Ffull-record%2FWOS:A1997YG50900002","View Full Record in Web of Science")</f>
        <v>View Full Record in Web of Science</v>
      </c>
    </row>
    <row r="668" spans="1:72" x14ac:dyDescent="0.15">
      <c r="A668" t="s">
        <v>72</v>
      </c>
      <c r="B668" t="s">
        <v>8125</v>
      </c>
      <c r="C668" t="s">
        <v>74</v>
      </c>
      <c r="D668" t="s">
        <v>74</v>
      </c>
      <c r="E668" t="s">
        <v>74</v>
      </c>
      <c r="F668" t="s">
        <v>8125</v>
      </c>
      <c r="G668" t="s">
        <v>74</v>
      </c>
      <c r="H668" t="s">
        <v>74</v>
      </c>
      <c r="I668" t="s">
        <v>8126</v>
      </c>
      <c r="J668" t="s">
        <v>1581</v>
      </c>
      <c r="K668" t="s">
        <v>74</v>
      </c>
      <c r="L668" t="s">
        <v>74</v>
      </c>
      <c r="M668" t="s">
        <v>77</v>
      </c>
      <c r="N668" t="s">
        <v>78</v>
      </c>
      <c r="O668" t="s">
        <v>74</v>
      </c>
      <c r="P668" t="s">
        <v>74</v>
      </c>
      <c r="Q668" t="s">
        <v>74</v>
      </c>
      <c r="R668" t="s">
        <v>74</v>
      </c>
      <c r="S668" t="s">
        <v>74</v>
      </c>
      <c r="T668" t="s">
        <v>74</v>
      </c>
      <c r="U668" t="s">
        <v>8127</v>
      </c>
      <c r="V668" t="s">
        <v>8128</v>
      </c>
      <c r="W668" t="s">
        <v>8129</v>
      </c>
      <c r="X668" t="s">
        <v>8130</v>
      </c>
      <c r="Y668" t="s">
        <v>8131</v>
      </c>
      <c r="Z668" t="s">
        <v>74</v>
      </c>
      <c r="AA668" t="s">
        <v>8132</v>
      </c>
      <c r="AB668" t="s">
        <v>8133</v>
      </c>
      <c r="AC668" t="s">
        <v>74</v>
      </c>
      <c r="AD668" t="s">
        <v>74</v>
      </c>
      <c r="AE668" t="s">
        <v>74</v>
      </c>
      <c r="AF668" t="s">
        <v>74</v>
      </c>
      <c r="AG668">
        <v>17</v>
      </c>
      <c r="AH668">
        <v>18</v>
      </c>
      <c r="AI668">
        <v>18</v>
      </c>
      <c r="AJ668">
        <v>0</v>
      </c>
      <c r="AK668">
        <v>1</v>
      </c>
      <c r="AL668" t="s">
        <v>87</v>
      </c>
      <c r="AM668" t="s">
        <v>88</v>
      </c>
      <c r="AN668" t="s">
        <v>7533</v>
      </c>
      <c r="AO668" t="s">
        <v>1589</v>
      </c>
      <c r="AP668" t="s">
        <v>74</v>
      </c>
      <c r="AQ668" t="s">
        <v>74</v>
      </c>
      <c r="AR668" t="s">
        <v>1590</v>
      </c>
      <c r="AS668" t="s">
        <v>1591</v>
      </c>
      <c r="AT668" t="s">
        <v>8121</v>
      </c>
      <c r="AU668">
        <v>1997</v>
      </c>
      <c r="AV668">
        <v>24</v>
      </c>
      <c r="AW668">
        <v>22</v>
      </c>
      <c r="AX668" t="s">
        <v>74</v>
      </c>
      <c r="AY668" t="s">
        <v>74</v>
      </c>
      <c r="AZ668" t="s">
        <v>74</v>
      </c>
      <c r="BA668" t="s">
        <v>74</v>
      </c>
      <c r="BB668">
        <v>2701</v>
      </c>
      <c r="BC668">
        <v>2704</v>
      </c>
      <c r="BD668" t="s">
        <v>74</v>
      </c>
      <c r="BE668" t="s">
        <v>8134</v>
      </c>
      <c r="BF668" t="str">
        <f>HYPERLINK("http://dx.doi.org/10.1029/97GL52833","http://dx.doi.org/10.1029/97GL52833")</f>
        <v>http://dx.doi.org/10.1029/97GL52833</v>
      </c>
      <c r="BG668" t="s">
        <v>74</v>
      </c>
      <c r="BH668" t="s">
        <v>74</v>
      </c>
      <c r="BI668">
        <v>4</v>
      </c>
      <c r="BJ668" t="s">
        <v>769</v>
      </c>
      <c r="BK668" t="s">
        <v>98</v>
      </c>
      <c r="BL668" t="s">
        <v>471</v>
      </c>
      <c r="BM668" t="s">
        <v>8123</v>
      </c>
      <c r="BN668" t="s">
        <v>74</v>
      </c>
      <c r="BO668" t="s">
        <v>100</v>
      </c>
      <c r="BP668" t="s">
        <v>74</v>
      </c>
      <c r="BQ668" t="s">
        <v>74</v>
      </c>
      <c r="BR668" t="s">
        <v>101</v>
      </c>
      <c r="BS668" t="s">
        <v>8135</v>
      </c>
      <c r="BT668" t="str">
        <f>HYPERLINK("https%3A%2F%2Fwww.webofscience.com%2Fwos%2Fwoscc%2Ffull-record%2FWOS:A1997YG50900004","View Full Record in Web of Science")</f>
        <v>View Full Record in Web of Science</v>
      </c>
    </row>
    <row r="669" spans="1:72" x14ac:dyDescent="0.15">
      <c r="A669" t="s">
        <v>72</v>
      </c>
      <c r="B669" t="s">
        <v>8136</v>
      </c>
      <c r="C669" t="s">
        <v>74</v>
      </c>
      <c r="D669" t="s">
        <v>74</v>
      </c>
      <c r="E669" t="s">
        <v>74</v>
      </c>
      <c r="F669" t="s">
        <v>8136</v>
      </c>
      <c r="G669" t="s">
        <v>74</v>
      </c>
      <c r="H669" t="s">
        <v>74</v>
      </c>
      <c r="I669" t="s">
        <v>8137</v>
      </c>
      <c r="J669" t="s">
        <v>1581</v>
      </c>
      <c r="K669" t="s">
        <v>74</v>
      </c>
      <c r="L669" t="s">
        <v>74</v>
      </c>
      <c r="M669" t="s">
        <v>77</v>
      </c>
      <c r="N669" t="s">
        <v>78</v>
      </c>
      <c r="O669" t="s">
        <v>74</v>
      </c>
      <c r="P669" t="s">
        <v>74</v>
      </c>
      <c r="Q669" t="s">
        <v>74</v>
      </c>
      <c r="R669" t="s">
        <v>74</v>
      </c>
      <c r="S669" t="s">
        <v>74</v>
      </c>
      <c r="T669" t="s">
        <v>74</v>
      </c>
      <c r="U669" t="s">
        <v>5395</v>
      </c>
      <c r="V669" t="s">
        <v>8138</v>
      </c>
      <c r="W669" t="s">
        <v>74</v>
      </c>
      <c r="X669" t="s">
        <v>74</v>
      </c>
      <c r="Y669" t="s">
        <v>8139</v>
      </c>
      <c r="Z669" t="s">
        <v>74</v>
      </c>
      <c r="AA669" t="s">
        <v>8140</v>
      </c>
      <c r="AB669" t="s">
        <v>8141</v>
      </c>
      <c r="AC669" t="s">
        <v>74</v>
      </c>
      <c r="AD669" t="s">
        <v>74</v>
      </c>
      <c r="AE669" t="s">
        <v>74</v>
      </c>
      <c r="AF669" t="s">
        <v>74</v>
      </c>
      <c r="AG669">
        <v>14</v>
      </c>
      <c r="AH669">
        <v>45</v>
      </c>
      <c r="AI669">
        <v>46</v>
      </c>
      <c r="AJ669">
        <v>0</v>
      </c>
      <c r="AK669">
        <v>3</v>
      </c>
      <c r="AL669" t="s">
        <v>87</v>
      </c>
      <c r="AM669" t="s">
        <v>88</v>
      </c>
      <c r="AN669" t="s">
        <v>7533</v>
      </c>
      <c r="AO669" t="s">
        <v>1589</v>
      </c>
      <c r="AP669" t="s">
        <v>74</v>
      </c>
      <c r="AQ669" t="s">
        <v>74</v>
      </c>
      <c r="AR669" t="s">
        <v>1590</v>
      </c>
      <c r="AS669" t="s">
        <v>1591</v>
      </c>
      <c r="AT669" t="s">
        <v>8121</v>
      </c>
      <c r="AU669">
        <v>1997</v>
      </c>
      <c r="AV669">
        <v>24</v>
      </c>
      <c r="AW669">
        <v>22</v>
      </c>
      <c r="AX669" t="s">
        <v>74</v>
      </c>
      <c r="AY669" t="s">
        <v>74</v>
      </c>
      <c r="AZ669" t="s">
        <v>74</v>
      </c>
      <c r="BA669" t="s">
        <v>74</v>
      </c>
      <c r="BB669">
        <v>2705</v>
      </c>
      <c r="BC669">
        <v>2708</v>
      </c>
      <c r="BD669" t="s">
        <v>74</v>
      </c>
      <c r="BE669" t="s">
        <v>8142</v>
      </c>
      <c r="BF669" t="str">
        <f>HYPERLINK("http://dx.doi.org/10.1029/97GL52829","http://dx.doi.org/10.1029/97GL52829")</f>
        <v>http://dx.doi.org/10.1029/97GL52829</v>
      </c>
      <c r="BG669" t="s">
        <v>74</v>
      </c>
      <c r="BH669" t="s">
        <v>74</v>
      </c>
      <c r="BI669">
        <v>4</v>
      </c>
      <c r="BJ669" t="s">
        <v>769</v>
      </c>
      <c r="BK669" t="s">
        <v>98</v>
      </c>
      <c r="BL669" t="s">
        <v>471</v>
      </c>
      <c r="BM669" t="s">
        <v>8123</v>
      </c>
      <c r="BN669" t="s">
        <v>74</v>
      </c>
      <c r="BO669" t="s">
        <v>100</v>
      </c>
      <c r="BP669" t="s">
        <v>74</v>
      </c>
      <c r="BQ669" t="s">
        <v>74</v>
      </c>
      <c r="BR669" t="s">
        <v>101</v>
      </c>
      <c r="BS669" t="s">
        <v>8143</v>
      </c>
      <c r="BT669" t="str">
        <f>HYPERLINK("https%3A%2F%2Fwww.webofscience.com%2Fwos%2Fwoscc%2Ffull-record%2FWOS:A1997YG50900005","View Full Record in Web of Science")</f>
        <v>View Full Record in Web of Science</v>
      </c>
    </row>
    <row r="670" spans="1:72" x14ac:dyDescent="0.15">
      <c r="A670" t="s">
        <v>72</v>
      </c>
      <c r="B670" t="s">
        <v>8144</v>
      </c>
      <c r="C670" t="s">
        <v>74</v>
      </c>
      <c r="D670" t="s">
        <v>74</v>
      </c>
      <c r="E670" t="s">
        <v>74</v>
      </c>
      <c r="F670" t="s">
        <v>8144</v>
      </c>
      <c r="G670" t="s">
        <v>74</v>
      </c>
      <c r="H670" t="s">
        <v>74</v>
      </c>
      <c r="I670" t="s">
        <v>8145</v>
      </c>
      <c r="J670" t="s">
        <v>1581</v>
      </c>
      <c r="K670" t="s">
        <v>74</v>
      </c>
      <c r="L670" t="s">
        <v>74</v>
      </c>
      <c r="M670" t="s">
        <v>77</v>
      </c>
      <c r="N670" t="s">
        <v>78</v>
      </c>
      <c r="O670" t="s">
        <v>74</v>
      </c>
      <c r="P670" t="s">
        <v>74</v>
      </c>
      <c r="Q670" t="s">
        <v>74</v>
      </c>
      <c r="R670" t="s">
        <v>74</v>
      </c>
      <c r="S670" t="s">
        <v>74</v>
      </c>
      <c r="T670" t="s">
        <v>74</v>
      </c>
      <c r="U670" t="s">
        <v>8146</v>
      </c>
      <c r="V670" t="s">
        <v>8147</v>
      </c>
      <c r="W670" t="s">
        <v>74</v>
      </c>
      <c r="X670" t="s">
        <v>74</v>
      </c>
      <c r="Y670" t="s">
        <v>8148</v>
      </c>
      <c r="Z670" t="s">
        <v>74</v>
      </c>
      <c r="AA670" t="s">
        <v>74</v>
      </c>
      <c r="AB670" t="s">
        <v>8149</v>
      </c>
      <c r="AC670" t="s">
        <v>74</v>
      </c>
      <c r="AD670" t="s">
        <v>74</v>
      </c>
      <c r="AE670" t="s">
        <v>74</v>
      </c>
      <c r="AF670" t="s">
        <v>74</v>
      </c>
      <c r="AG670">
        <v>15</v>
      </c>
      <c r="AH670">
        <v>11</v>
      </c>
      <c r="AI670">
        <v>11</v>
      </c>
      <c r="AJ670">
        <v>0</v>
      </c>
      <c r="AK670">
        <v>1</v>
      </c>
      <c r="AL670" t="s">
        <v>87</v>
      </c>
      <c r="AM670" t="s">
        <v>88</v>
      </c>
      <c r="AN670" t="s">
        <v>7533</v>
      </c>
      <c r="AO670" t="s">
        <v>1589</v>
      </c>
      <c r="AP670" t="s">
        <v>74</v>
      </c>
      <c r="AQ670" t="s">
        <v>74</v>
      </c>
      <c r="AR670" t="s">
        <v>1590</v>
      </c>
      <c r="AS670" t="s">
        <v>1591</v>
      </c>
      <c r="AT670" t="s">
        <v>8121</v>
      </c>
      <c r="AU670">
        <v>1997</v>
      </c>
      <c r="AV670">
        <v>24</v>
      </c>
      <c r="AW670">
        <v>22</v>
      </c>
      <c r="AX670" t="s">
        <v>74</v>
      </c>
      <c r="AY670" t="s">
        <v>74</v>
      </c>
      <c r="AZ670" t="s">
        <v>74</v>
      </c>
      <c r="BA670" t="s">
        <v>74</v>
      </c>
      <c r="BB670">
        <v>2781</v>
      </c>
      <c r="BC670">
        <v>2784</v>
      </c>
      <c r="BD670" t="s">
        <v>74</v>
      </c>
      <c r="BE670" t="s">
        <v>8150</v>
      </c>
      <c r="BF670" t="str">
        <f>HYPERLINK("http://dx.doi.org/10.1029/97GL02576","http://dx.doi.org/10.1029/97GL02576")</f>
        <v>http://dx.doi.org/10.1029/97GL02576</v>
      </c>
      <c r="BG670" t="s">
        <v>74</v>
      </c>
      <c r="BH670" t="s">
        <v>74</v>
      </c>
      <c r="BI670">
        <v>4</v>
      </c>
      <c r="BJ670" t="s">
        <v>769</v>
      </c>
      <c r="BK670" t="s">
        <v>98</v>
      </c>
      <c r="BL670" t="s">
        <v>471</v>
      </c>
      <c r="BM670" t="s">
        <v>8123</v>
      </c>
      <c r="BN670" t="s">
        <v>74</v>
      </c>
      <c r="BO670" t="s">
        <v>74</v>
      </c>
      <c r="BP670" t="s">
        <v>74</v>
      </c>
      <c r="BQ670" t="s">
        <v>74</v>
      </c>
      <c r="BR670" t="s">
        <v>101</v>
      </c>
      <c r="BS670" t="s">
        <v>8151</v>
      </c>
      <c r="BT670" t="str">
        <f>HYPERLINK("https%3A%2F%2Fwww.webofscience.com%2Fwos%2Fwoscc%2Ffull-record%2FWOS:A1997YG50900024","View Full Record in Web of Science")</f>
        <v>View Full Record in Web of Science</v>
      </c>
    </row>
    <row r="671" spans="1:72" x14ac:dyDescent="0.15">
      <c r="A671" t="s">
        <v>72</v>
      </c>
      <c r="B671" t="s">
        <v>8152</v>
      </c>
      <c r="C671" t="s">
        <v>74</v>
      </c>
      <c r="D671" t="s">
        <v>74</v>
      </c>
      <c r="E671" t="s">
        <v>74</v>
      </c>
      <c r="F671" t="s">
        <v>8152</v>
      </c>
      <c r="G671" t="s">
        <v>74</v>
      </c>
      <c r="H671" t="s">
        <v>74</v>
      </c>
      <c r="I671" t="s">
        <v>8153</v>
      </c>
      <c r="J671" t="s">
        <v>1581</v>
      </c>
      <c r="K671" t="s">
        <v>74</v>
      </c>
      <c r="L671" t="s">
        <v>74</v>
      </c>
      <c r="M671" t="s">
        <v>77</v>
      </c>
      <c r="N671" t="s">
        <v>78</v>
      </c>
      <c r="O671" t="s">
        <v>74</v>
      </c>
      <c r="P671" t="s">
        <v>74</v>
      </c>
      <c r="Q671" t="s">
        <v>74</v>
      </c>
      <c r="R671" t="s">
        <v>74</v>
      </c>
      <c r="S671" t="s">
        <v>74</v>
      </c>
      <c r="T671" t="s">
        <v>74</v>
      </c>
      <c r="U671" t="s">
        <v>8154</v>
      </c>
      <c r="V671" t="s">
        <v>8155</v>
      </c>
      <c r="W671" t="s">
        <v>8156</v>
      </c>
      <c r="X671" t="s">
        <v>3151</v>
      </c>
      <c r="Y671" t="s">
        <v>8148</v>
      </c>
      <c r="Z671" t="s">
        <v>74</v>
      </c>
      <c r="AA671" t="s">
        <v>8157</v>
      </c>
      <c r="AB671" t="s">
        <v>8149</v>
      </c>
      <c r="AC671" t="s">
        <v>74</v>
      </c>
      <c r="AD671" t="s">
        <v>74</v>
      </c>
      <c r="AE671" t="s">
        <v>74</v>
      </c>
      <c r="AF671" t="s">
        <v>74</v>
      </c>
      <c r="AG671">
        <v>17</v>
      </c>
      <c r="AH671">
        <v>18</v>
      </c>
      <c r="AI671">
        <v>20</v>
      </c>
      <c r="AJ671">
        <v>0</v>
      </c>
      <c r="AK671">
        <v>7</v>
      </c>
      <c r="AL671" t="s">
        <v>87</v>
      </c>
      <c r="AM671" t="s">
        <v>88</v>
      </c>
      <c r="AN671" t="s">
        <v>7533</v>
      </c>
      <c r="AO671" t="s">
        <v>1589</v>
      </c>
      <c r="AP671" t="s">
        <v>74</v>
      </c>
      <c r="AQ671" t="s">
        <v>74</v>
      </c>
      <c r="AR671" t="s">
        <v>1590</v>
      </c>
      <c r="AS671" t="s">
        <v>1591</v>
      </c>
      <c r="AT671" t="s">
        <v>8121</v>
      </c>
      <c r="AU671">
        <v>1997</v>
      </c>
      <c r="AV671">
        <v>24</v>
      </c>
      <c r="AW671">
        <v>22</v>
      </c>
      <c r="AX671" t="s">
        <v>74</v>
      </c>
      <c r="AY671" t="s">
        <v>74</v>
      </c>
      <c r="AZ671" t="s">
        <v>74</v>
      </c>
      <c r="BA671" t="s">
        <v>74</v>
      </c>
      <c r="BB671">
        <v>2785</v>
      </c>
      <c r="BC671">
        <v>2788</v>
      </c>
      <c r="BD671" t="s">
        <v>74</v>
      </c>
      <c r="BE671" t="s">
        <v>8158</v>
      </c>
      <c r="BF671" t="str">
        <f>HYPERLINK("http://dx.doi.org/10.1029/97GL01929","http://dx.doi.org/10.1029/97GL01929")</f>
        <v>http://dx.doi.org/10.1029/97GL01929</v>
      </c>
      <c r="BG671" t="s">
        <v>74</v>
      </c>
      <c r="BH671" t="s">
        <v>74</v>
      </c>
      <c r="BI671">
        <v>4</v>
      </c>
      <c r="BJ671" t="s">
        <v>769</v>
      </c>
      <c r="BK671" t="s">
        <v>98</v>
      </c>
      <c r="BL671" t="s">
        <v>471</v>
      </c>
      <c r="BM671" t="s">
        <v>8123</v>
      </c>
      <c r="BN671" t="s">
        <v>74</v>
      </c>
      <c r="BO671" t="s">
        <v>100</v>
      </c>
      <c r="BP671" t="s">
        <v>74</v>
      </c>
      <c r="BQ671" t="s">
        <v>74</v>
      </c>
      <c r="BR671" t="s">
        <v>101</v>
      </c>
      <c r="BS671" t="s">
        <v>8159</v>
      </c>
      <c r="BT671" t="str">
        <f>HYPERLINK("https%3A%2F%2Fwww.webofscience.com%2Fwos%2Fwoscc%2Ffull-record%2FWOS:A1997YG50900025","View Full Record in Web of Science")</f>
        <v>View Full Record in Web of Science</v>
      </c>
    </row>
    <row r="672" spans="1:72" x14ac:dyDescent="0.15">
      <c r="A672" t="s">
        <v>72</v>
      </c>
      <c r="B672" t="s">
        <v>8160</v>
      </c>
      <c r="C672" t="s">
        <v>74</v>
      </c>
      <c r="D672" t="s">
        <v>74</v>
      </c>
      <c r="E672" t="s">
        <v>74</v>
      </c>
      <c r="F672" t="s">
        <v>8160</v>
      </c>
      <c r="G672" t="s">
        <v>74</v>
      </c>
      <c r="H672" t="s">
        <v>74</v>
      </c>
      <c r="I672" t="s">
        <v>8161</v>
      </c>
      <c r="J672" t="s">
        <v>1581</v>
      </c>
      <c r="K672" t="s">
        <v>74</v>
      </c>
      <c r="L672" t="s">
        <v>74</v>
      </c>
      <c r="M672" t="s">
        <v>77</v>
      </c>
      <c r="N672" t="s">
        <v>78</v>
      </c>
      <c r="O672" t="s">
        <v>74</v>
      </c>
      <c r="P672" t="s">
        <v>74</v>
      </c>
      <c r="Q672" t="s">
        <v>74</v>
      </c>
      <c r="R672" t="s">
        <v>74</v>
      </c>
      <c r="S672" t="s">
        <v>74</v>
      </c>
      <c r="T672" t="s">
        <v>74</v>
      </c>
      <c r="U672" t="s">
        <v>8162</v>
      </c>
      <c r="V672" t="s">
        <v>8163</v>
      </c>
      <c r="W672" t="s">
        <v>8164</v>
      </c>
      <c r="X672" t="s">
        <v>8165</v>
      </c>
      <c r="Y672" t="s">
        <v>8166</v>
      </c>
      <c r="Z672" t="s">
        <v>74</v>
      </c>
      <c r="AA672" t="s">
        <v>8167</v>
      </c>
      <c r="AB672" t="s">
        <v>8168</v>
      </c>
      <c r="AC672" t="s">
        <v>74</v>
      </c>
      <c r="AD672" t="s">
        <v>74</v>
      </c>
      <c r="AE672" t="s">
        <v>74</v>
      </c>
      <c r="AF672" t="s">
        <v>74</v>
      </c>
      <c r="AG672">
        <v>11</v>
      </c>
      <c r="AH672">
        <v>32</v>
      </c>
      <c r="AI672">
        <v>32</v>
      </c>
      <c r="AJ672">
        <v>0</v>
      </c>
      <c r="AK672">
        <v>8</v>
      </c>
      <c r="AL672" t="s">
        <v>87</v>
      </c>
      <c r="AM672" t="s">
        <v>88</v>
      </c>
      <c r="AN672" t="s">
        <v>7533</v>
      </c>
      <c r="AO672" t="s">
        <v>1589</v>
      </c>
      <c r="AP672" t="s">
        <v>74</v>
      </c>
      <c r="AQ672" t="s">
        <v>74</v>
      </c>
      <c r="AR672" t="s">
        <v>1590</v>
      </c>
      <c r="AS672" t="s">
        <v>1591</v>
      </c>
      <c r="AT672" t="s">
        <v>8121</v>
      </c>
      <c r="AU672">
        <v>1997</v>
      </c>
      <c r="AV672">
        <v>24</v>
      </c>
      <c r="AW672">
        <v>22</v>
      </c>
      <c r="AX672" t="s">
        <v>74</v>
      </c>
      <c r="AY672" t="s">
        <v>74</v>
      </c>
      <c r="AZ672" t="s">
        <v>74</v>
      </c>
      <c r="BA672" t="s">
        <v>74</v>
      </c>
      <c r="BB672">
        <v>2789</v>
      </c>
      <c r="BC672">
        <v>2792</v>
      </c>
      <c r="BD672" t="s">
        <v>74</v>
      </c>
      <c r="BE672" t="s">
        <v>8169</v>
      </c>
      <c r="BF672" t="str">
        <f>HYPERLINK("http://dx.doi.org/10.1029/97GL02657","http://dx.doi.org/10.1029/97GL02657")</f>
        <v>http://dx.doi.org/10.1029/97GL02657</v>
      </c>
      <c r="BG672" t="s">
        <v>74</v>
      </c>
      <c r="BH672" t="s">
        <v>74</v>
      </c>
      <c r="BI672">
        <v>4</v>
      </c>
      <c r="BJ672" t="s">
        <v>769</v>
      </c>
      <c r="BK672" t="s">
        <v>98</v>
      </c>
      <c r="BL672" t="s">
        <v>471</v>
      </c>
      <c r="BM672" t="s">
        <v>8123</v>
      </c>
      <c r="BN672" t="s">
        <v>74</v>
      </c>
      <c r="BO672" t="s">
        <v>100</v>
      </c>
      <c r="BP672" t="s">
        <v>74</v>
      </c>
      <c r="BQ672" t="s">
        <v>74</v>
      </c>
      <c r="BR672" t="s">
        <v>101</v>
      </c>
      <c r="BS672" t="s">
        <v>8170</v>
      </c>
      <c r="BT672" t="str">
        <f>HYPERLINK("https%3A%2F%2Fwww.webofscience.com%2Fwos%2Fwoscc%2Ffull-record%2FWOS:A1997YG50900026","View Full Record in Web of Science")</f>
        <v>View Full Record in Web of Science</v>
      </c>
    </row>
    <row r="673" spans="1:72" x14ac:dyDescent="0.15">
      <c r="A673" t="s">
        <v>72</v>
      </c>
      <c r="B673" t="s">
        <v>8171</v>
      </c>
      <c r="C673" t="s">
        <v>74</v>
      </c>
      <c r="D673" t="s">
        <v>74</v>
      </c>
      <c r="E673" t="s">
        <v>74</v>
      </c>
      <c r="F673" t="s">
        <v>8171</v>
      </c>
      <c r="G673" t="s">
        <v>74</v>
      </c>
      <c r="H673" t="s">
        <v>74</v>
      </c>
      <c r="I673" t="s">
        <v>8172</v>
      </c>
      <c r="J673" t="s">
        <v>1581</v>
      </c>
      <c r="K673" t="s">
        <v>74</v>
      </c>
      <c r="L673" t="s">
        <v>74</v>
      </c>
      <c r="M673" t="s">
        <v>77</v>
      </c>
      <c r="N673" t="s">
        <v>78</v>
      </c>
      <c r="O673" t="s">
        <v>74</v>
      </c>
      <c r="P673" t="s">
        <v>74</v>
      </c>
      <c r="Q673" t="s">
        <v>74</v>
      </c>
      <c r="R673" t="s">
        <v>74</v>
      </c>
      <c r="S673" t="s">
        <v>74</v>
      </c>
      <c r="T673" t="s">
        <v>74</v>
      </c>
      <c r="U673" t="s">
        <v>8173</v>
      </c>
      <c r="V673" t="s">
        <v>8174</v>
      </c>
      <c r="W673" t="s">
        <v>8175</v>
      </c>
      <c r="X673" t="s">
        <v>8176</v>
      </c>
      <c r="Y673" t="s">
        <v>74</v>
      </c>
      <c r="Z673" t="s">
        <v>74</v>
      </c>
      <c r="AA673" t="s">
        <v>74</v>
      </c>
      <c r="AB673" t="s">
        <v>74</v>
      </c>
      <c r="AC673" t="s">
        <v>74</v>
      </c>
      <c r="AD673" t="s">
        <v>74</v>
      </c>
      <c r="AE673" t="s">
        <v>74</v>
      </c>
      <c r="AF673" t="s">
        <v>74</v>
      </c>
      <c r="AG673">
        <v>21</v>
      </c>
      <c r="AH673">
        <v>42</v>
      </c>
      <c r="AI673">
        <v>45</v>
      </c>
      <c r="AJ673">
        <v>0</v>
      </c>
      <c r="AK673">
        <v>11</v>
      </c>
      <c r="AL673" t="s">
        <v>87</v>
      </c>
      <c r="AM673" t="s">
        <v>88</v>
      </c>
      <c r="AN673" t="s">
        <v>7533</v>
      </c>
      <c r="AO673" t="s">
        <v>1589</v>
      </c>
      <c r="AP673" t="s">
        <v>74</v>
      </c>
      <c r="AQ673" t="s">
        <v>74</v>
      </c>
      <c r="AR673" t="s">
        <v>1590</v>
      </c>
      <c r="AS673" t="s">
        <v>1591</v>
      </c>
      <c r="AT673" t="s">
        <v>8121</v>
      </c>
      <c r="AU673">
        <v>1997</v>
      </c>
      <c r="AV673">
        <v>24</v>
      </c>
      <c r="AW673">
        <v>22</v>
      </c>
      <c r="AX673" t="s">
        <v>74</v>
      </c>
      <c r="AY673" t="s">
        <v>74</v>
      </c>
      <c r="AZ673" t="s">
        <v>74</v>
      </c>
      <c r="BA673" t="s">
        <v>74</v>
      </c>
      <c r="BB673">
        <v>2793</v>
      </c>
      <c r="BC673">
        <v>2796</v>
      </c>
      <c r="BD673" t="s">
        <v>74</v>
      </c>
      <c r="BE673" t="s">
        <v>8177</v>
      </c>
      <c r="BF673" t="str">
        <f>HYPERLINK("http://dx.doi.org/10.1029/97GL02860","http://dx.doi.org/10.1029/97GL02860")</f>
        <v>http://dx.doi.org/10.1029/97GL02860</v>
      </c>
      <c r="BG673" t="s">
        <v>74</v>
      </c>
      <c r="BH673" t="s">
        <v>74</v>
      </c>
      <c r="BI673">
        <v>4</v>
      </c>
      <c r="BJ673" t="s">
        <v>769</v>
      </c>
      <c r="BK673" t="s">
        <v>98</v>
      </c>
      <c r="BL673" t="s">
        <v>471</v>
      </c>
      <c r="BM673" t="s">
        <v>8123</v>
      </c>
      <c r="BN673" t="s">
        <v>74</v>
      </c>
      <c r="BO673" t="s">
        <v>100</v>
      </c>
      <c r="BP673" t="s">
        <v>74</v>
      </c>
      <c r="BQ673" t="s">
        <v>74</v>
      </c>
      <c r="BR673" t="s">
        <v>101</v>
      </c>
      <c r="BS673" t="s">
        <v>8178</v>
      </c>
      <c r="BT673" t="str">
        <f>HYPERLINK("https%3A%2F%2Fwww.webofscience.com%2Fwos%2Fwoscc%2Ffull-record%2FWOS:A1997YG50900027","View Full Record in Web of Science")</f>
        <v>View Full Record in Web of Science</v>
      </c>
    </row>
    <row r="674" spans="1:72" x14ac:dyDescent="0.15">
      <c r="A674" t="s">
        <v>72</v>
      </c>
      <c r="B674" t="s">
        <v>8179</v>
      </c>
      <c r="C674" t="s">
        <v>74</v>
      </c>
      <c r="D674" t="s">
        <v>74</v>
      </c>
      <c r="E674" t="s">
        <v>74</v>
      </c>
      <c r="F674" t="s">
        <v>8179</v>
      </c>
      <c r="G674" t="s">
        <v>74</v>
      </c>
      <c r="H674" t="s">
        <v>74</v>
      </c>
      <c r="I674" t="s">
        <v>8180</v>
      </c>
      <c r="J674" t="s">
        <v>1581</v>
      </c>
      <c r="K674" t="s">
        <v>74</v>
      </c>
      <c r="L674" t="s">
        <v>74</v>
      </c>
      <c r="M674" t="s">
        <v>77</v>
      </c>
      <c r="N674" t="s">
        <v>78</v>
      </c>
      <c r="O674" t="s">
        <v>74</v>
      </c>
      <c r="P674" t="s">
        <v>74</v>
      </c>
      <c r="Q674" t="s">
        <v>74</v>
      </c>
      <c r="R674" t="s">
        <v>74</v>
      </c>
      <c r="S674" t="s">
        <v>74</v>
      </c>
      <c r="T674" t="s">
        <v>74</v>
      </c>
      <c r="U674" t="s">
        <v>8181</v>
      </c>
      <c r="V674" t="s">
        <v>8182</v>
      </c>
      <c r="W674" t="s">
        <v>8183</v>
      </c>
      <c r="X674" t="s">
        <v>5754</v>
      </c>
      <c r="Y674" t="s">
        <v>8184</v>
      </c>
      <c r="Z674" t="s">
        <v>74</v>
      </c>
      <c r="AA674" t="s">
        <v>8185</v>
      </c>
      <c r="AB674" t="s">
        <v>8186</v>
      </c>
      <c r="AC674" t="s">
        <v>74</v>
      </c>
      <c r="AD674" t="s">
        <v>74</v>
      </c>
      <c r="AE674" t="s">
        <v>74</v>
      </c>
      <c r="AF674" t="s">
        <v>74</v>
      </c>
      <c r="AG674">
        <v>12</v>
      </c>
      <c r="AH674">
        <v>19</v>
      </c>
      <c r="AI674">
        <v>20</v>
      </c>
      <c r="AJ674">
        <v>0</v>
      </c>
      <c r="AK674">
        <v>4</v>
      </c>
      <c r="AL674" t="s">
        <v>87</v>
      </c>
      <c r="AM674" t="s">
        <v>88</v>
      </c>
      <c r="AN674" t="s">
        <v>7533</v>
      </c>
      <c r="AO674" t="s">
        <v>1589</v>
      </c>
      <c r="AP674" t="s">
        <v>74</v>
      </c>
      <c r="AQ674" t="s">
        <v>74</v>
      </c>
      <c r="AR674" t="s">
        <v>1590</v>
      </c>
      <c r="AS674" t="s">
        <v>1591</v>
      </c>
      <c r="AT674" t="s">
        <v>8121</v>
      </c>
      <c r="AU674">
        <v>1997</v>
      </c>
      <c r="AV674">
        <v>24</v>
      </c>
      <c r="AW674">
        <v>22</v>
      </c>
      <c r="AX674" t="s">
        <v>74</v>
      </c>
      <c r="AY674" t="s">
        <v>74</v>
      </c>
      <c r="AZ674" t="s">
        <v>74</v>
      </c>
      <c r="BA674" t="s">
        <v>74</v>
      </c>
      <c r="BB674">
        <v>2797</v>
      </c>
      <c r="BC674">
        <v>2800</v>
      </c>
      <c r="BD674" t="s">
        <v>74</v>
      </c>
      <c r="BE674" t="s">
        <v>8187</v>
      </c>
      <c r="BF674" t="str">
        <f>HYPERLINK("http://dx.doi.org/10.1029/97GL02278","http://dx.doi.org/10.1029/97GL02278")</f>
        <v>http://dx.doi.org/10.1029/97GL02278</v>
      </c>
      <c r="BG674" t="s">
        <v>74</v>
      </c>
      <c r="BH674" t="s">
        <v>74</v>
      </c>
      <c r="BI674">
        <v>4</v>
      </c>
      <c r="BJ674" t="s">
        <v>769</v>
      </c>
      <c r="BK674" t="s">
        <v>98</v>
      </c>
      <c r="BL674" t="s">
        <v>471</v>
      </c>
      <c r="BM674" t="s">
        <v>8123</v>
      </c>
      <c r="BN674" t="s">
        <v>74</v>
      </c>
      <c r="BO674" t="s">
        <v>100</v>
      </c>
      <c r="BP674" t="s">
        <v>74</v>
      </c>
      <c r="BQ674" t="s">
        <v>74</v>
      </c>
      <c r="BR674" t="s">
        <v>101</v>
      </c>
      <c r="BS674" t="s">
        <v>8188</v>
      </c>
      <c r="BT674" t="str">
        <f>HYPERLINK("https%3A%2F%2Fwww.webofscience.com%2Fwos%2Fwoscc%2Ffull-record%2FWOS:A1997YG50900028","View Full Record in Web of Science")</f>
        <v>View Full Record in Web of Science</v>
      </c>
    </row>
    <row r="675" spans="1:72" x14ac:dyDescent="0.15">
      <c r="A675" t="s">
        <v>72</v>
      </c>
      <c r="B675" t="s">
        <v>8189</v>
      </c>
      <c r="C675" t="s">
        <v>74</v>
      </c>
      <c r="D675" t="s">
        <v>74</v>
      </c>
      <c r="E675" t="s">
        <v>74</v>
      </c>
      <c r="F675" t="s">
        <v>8189</v>
      </c>
      <c r="G675" t="s">
        <v>74</v>
      </c>
      <c r="H675" t="s">
        <v>74</v>
      </c>
      <c r="I675" t="s">
        <v>8190</v>
      </c>
      <c r="J675" t="s">
        <v>76</v>
      </c>
      <c r="K675" t="s">
        <v>74</v>
      </c>
      <c r="L675" t="s">
        <v>74</v>
      </c>
      <c r="M675" t="s">
        <v>77</v>
      </c>
      <c r="N675" t="s">
        <v>78</v>
      </c>
      <c r="O675" t="s">
        <v>74</v>
      </c>
      <c r="P675" t="s">
        <v>74</v>
      </c>
      <c r="Q675" t="s">
        <v>74</v>
      </c>
      <c r="R675" t="s">
        <v>74</v>
      </c>
      <c r="S675" t="s">
        <v>74</v>
      </c>
      <c r="T675" t="s">
        <v>74</v>
      </c>
      <c r="U675" t="s">
        <v>8191</v>
      </c>
      <c r="V675" t="s">
        <v>8192</v>
      </c>
      <c r="W675" t="s">
        <v>8193</v>
      </c>
      <c r="X675" t="s">
        <v>8194</v>
      </c>
      <c r="Y675" t="s">
        <v>8195</v>
      </c>
      <c r="Z675" t="s">
        <v>74</v>
      </c>
      <c r="AA675" t="s">
        <v>8196</v>
      </c>
      <c r="AB675" t="s">
        <v>8197</v>
      </c>
      <c r="AC675" t="s">
        <v>74</v>
      </c>
      <c r="AD675" t="s">
        <v>74</v>
      </c>
      <c r="AE675" t="s">
        <v>74</v>
      </c>
      <c r="AF675" t="s">
        <v>74</v>
      </c>
      <c r="AG675">
        <v>71</v>
      </c>
      <c r="AH675">
        <v>31</v>
      </c>
      <c r="AI675">
        <v>31</v>
      </c>
      <c r="AJ675">
        <v>0</v>
      </c>
      <c r="AK675">
        <v>7</v>
      </c>
      <c r="AL675" t="s">
        <v>87</v>
      </c>
      <c r="AM675" t="s">
        <v>88</v>
      </c>
      <c r="AN675" t="s">
        <v>89</v>
      </c>
      <c r="AO675" t="s">
        <v>90</v>
      </c>
      <c r="AP675" t="s">
        <v>91</v>
      </c>
      <c r="AQ675" t="s">
        <v>74</v>
      </c>
      <c r="AR675" t="s">
        <v>92</v>
      </c>
      <c r="AS675" t="s">
        <v>93</v>
      </c>
      <c r="AT675" t="s">
        <v>8121</v>
      </c>
      <c r="AU675">
        <v>1997</v>
      </c>
      <c r="AV675">
        <v>102</v>
      </c>
      <c r="AW675" t="s">
        <v>8198</v>
      </c>
      <c r="AX675" t="s">
        <v>74</v>
      </c>
      <c r="AY675" t="s">
        <v>74</v>
      </c>
      <c r="AZ675" t="s">
        <v>74</v>
      </c>
      <c r="BA675" t="s">
        <v>74</v>
      </c>
      <c r="BB675">
        <v>25047</v>
      </c>
      <c r="BC675">
        <v>25060</v>
      </c>
      <c r="BD675" t="s">
        <v>74</v>
      </c>
      <c r="BE675" t="s">
        <v>8199</v>
      </c>
      <c r="BF675" t="str">
        <f>HYPERLINK("http://dx.doi.org/10.1029/96JC02439","http://dx.doi.org/10.1029/96JC02439")</f>
        <v>http://dx.doi.org/10.1029/96JC02439</v>
      </c>
      <c r="BG675" t="s">
        <v>74</v>
      </c>
      <c r="BH675" t="s">
        <v>74</v>
      </c>
      <c r="BI675">
        <v>14</v>
      </c>
      <c r="BJ675" t="s">
        <v>97</v>
      </c>
      <c r="BK675" t="s">
        <v>98</v>
      </c>
      <c r="BL675" t="s">
        <v>97</v>
      </c>
      <c r="BM675" t="s">
        <v>8200</v>
      </c>
      <c r="BN675" t="s">
        <v>74</v>
      </c>
      <c r="BO675" t="s">
        <v>1351</v>
      </c>
      <c r="BP675" t="s">
        <v>74</v>
      </c>
      <c r="BQ675" t="s">
        <v>74</v>
      </c>
      <c r="BR675" t="s">
        <v>101</v>
      </c>
      <c r="BS675" t="s">
        <v>8201</v>
      </c>
      <c r="BT675" t="str">
        <f>HYPERLINK("https%3A%2F%2Fwww.webofscience.com%2Fwos%2Fwoscc%2Ffull-record%2FWOS:A1997YG65400008","View Full Record in Web of Science")</f>
        <v>View Full Record in Web of Science</v>
      </c>
    </row>
    <row r="676" spans="1:72" x14ac:dyDescent="0.15">
      <c r="A676" t="s">
        <v>72</v>
      </c>
      <c r="B676" t="s">
        <v>8202</v>
      </c>
      <c r="C676" t="s">
        <v>74</v>
      </c>
      <c r="D676" t="s">
        <v>74</v>
      </c>
      <c r="E676" t="s">
        <v>74</v>
      </c>
      <c r="F676" t="s">
        <v>8202</v>
      </c>
      <c r="G676" t="s">
        <v>74</v>
      </c>
      <c r="H676" t="s">
        <v>74</v>
      </c>
      <c r="I676" t="s">
        <v>8203</v>
      </c>
      <c r="J676" t="s">
        <v>1977</v>
      </c>
      <c r="K676" t="s">
        <v>74</v>
      </c>
      <c r="L676" t="s">
        <v>74</v>
      </c>
      <c r="M676" t="s">
        <v>77</v>
      </c>
      <c r="N676" t="s">
        <v>379</v>
      </c>
      <c r="O676" t="s">
        <v>8204</v>
      </c>
      <c r="P676" t="s">
        <v>8205</v>
      </c>
      <c r="Q676" t="s">
        <v>8206</v>
      </c>
      <c r="R676" t="s">
        <v>74</v>
      </c>
      <c r="S676" t="s">
        <v>74</v>
      </c>
      <c r="T676" t="s">
        <v>8207</v>
      </c>
      <c r="U676" t="s">
        <v>8208</v>
      </c>
      <c r="V676" t="s">
        <v>8209</v>
      </c>
      <c r="W676" t="s">
        <v>8210</v>
      </c>
      <c r="X676" t="s">
        <v>74</v>
      </c>
      <c r="Y676" t="s">
        <v>8211</v>
      </c>
      <c r="Z676" t="s">
        <v>74</v>
      </c>
      <c r="AA676" t="s">
        <v>74</v>
      </c>
      <c r="AB676" t="s">
        <v>74</v>
      </c>
      <c r="AC676" t="s">
        <v>74</v>
      </c>
      <c r="AD676" t="s">
        <v>74</v>
      </c>
      <c r="AE676" t="s">
        <v>74</v>
      </c>
      <c r="AF676" t="s">
        <v>74</v>
      </c>
      <c r="AG676">
        <v>55</v>
      </c>
      <c r="AH676">
        <v>107</v>
      </c>
      <c r="AI676">
        <v>117</v>
      </c>
      <c r="AJ676">
        <v>0</v>
      </c>
      <c r="AK676">
        <v>15</v>
      </c>
      <c r="AL676" t="s">
        <v>1029</v>
      </c>
      <c r="AM676" t="s">
        <v>1030</v>
      </c>
      <c r="AN676" t="s">
        <v>1031</v>
      </c>
      <c r="AO676" t="s">
        <v>1987</v>
      </c>
      <c r="AP676" t="s">
        <v>8212</v>
      </c>
      <c r="AQ676" t="s">
        <v>74</v>
      </c>
      <c r="AR676" t="s">
        <v>1977</v>
      </c>
      <c r="AS676" t="s">
        <v>1988</v>
      </c>
      <c r="AT676" t="s">
        <v>8121</v>
      </c>
      <c r="AU676">
        <v>1997</v>
      </c>
      <c r="AV676">
        <v>281</v>
      </c>
      <c r="AW676" t="s">
        <v>4809</v>
      </c>
      <c r="AX676" t="s">
        <v>74</v>
      </c>
      <c r="AY676" t="s">
        <v>74</v>
      </c>
      <c r="AZ676" t="s">
        <v>74</v>
      </c>
      <c r="BA676" t="s">
        <v>74</v>
      </c>
      <c r="BB676">
        <v>83</v>
      </c>
      <c r="BC676">
        <v>97</v>
      </c>
      <c r="BD676" t="s">
        <v>74</v>
      </c>
      <c r="BE676" t="s">
        <v>8213</v>
      </c>
      <c r="BF676" t="str">
        <f>HYPERLINK("http://dx.doi.org/10.1016/S0040-1951(97)00160-1","http://dx.doi.org/10.1016/S0040-1951(97)00160-1")</f>
        <v>http://dx.doi.org/10.1016/S0040-1951(97)00160-1</v>
      </c>
      <c r="BG676" t="s">
        <v>74</v>
      </c>
      <c r="BH676" t="s">
        <v>74</v>
      </c>
      <c r="BI676">
        <v>15</v>
      </c>
      <c r="BJ676" t="s">
        <v>143</v>
      </c>
      <c r="BK676" t="s">
        <v>3943</v>
      </c>
      <c r="BL676" t="s">
        <v>143</v>
      </c>
      <c r="BM676" t="s">
        <v>8214</v>
      </c>
      <c r="BN676" t="s">
        <v>74</v>
      </c>
      <c r="BO676" t="s">
        <v>74</v>
      </c>
      <c r="BP676" t="s">
        <v>74</v>
      </c>
      <c r="BQ676" t="s">
        <v>74</v>
      </c>
      <c r="BR676" t="s">
        <v>101</v>
      </c>
      <c r="BS676" t="s">
        <v>8215</v>
      </c>
      <c r="BT676" t="str">
        <f>HYPERLINK("https%3A%2F%2Fwww.webofscience.com%2Fwos%2Fwoscc%2Ffull-record%2FWOS:A1997YK78700007","View Full Record in Web of Science")</f>
        <v>View Full Record in Web of Science</v>
      </c>
    </row>
    <row r="677" spans="1:72" x14ac:dyDescent="0.15">
      <c r="A677" t="s">
        <v>72</v>
      </c>
      <c r="B677" t="s">
        <v>8216</v>
      </c>
      <c r="C677" t="s">
        <v>74</v>
      </c>
      <c r="D677" t="s">
        <v>74</v>
      </c>
      <c r="E677" t="s">
        <v>74</v>
      </c>
      <c r="F677" t="s">
        <v>8216</v>
      </c>
      <c r="G677" t="s">
        <v>74</v>
      </c>
      <c r="H677" t="s">
        <v>74</v>
      </c>
      <c r="I677" t="s">
        <v>8217</v>
      </c>
      <c r="J677" t="s">
        <v>170</v>
      </c>
      <c r="K677" t="s">
        <v>74</v>
      </c>
      <c r="L677" t="s">
        <v>74</v>
      </c>
      <c r="M677" t="s">
        <v>77</v>
      </c>
      <c r="N677" t="s">
        <v>78</v>
      </c>
      <c r="O677" t="s">
        <v>74</v>
      </c>
      <c r="P677" t="s">
        <v>74</v>
      </c>
      <c r="Q677" t="s">
        <v>74</v>
      </c>
      <c r="R677" t="s">
        <v>74</v>
      </c>
      <c r="S677" t="s">
        <v>74</v>
      </c>
      <c r="T677" t="s">
        <v>74</v>
      </c>
      <c r="U677" t="s">
        <v>8218</v>
      </c>
      <c r="V677" t="s">
        <v>8219</v>
      </c>
      <c r="W677" t="s">
        <v>8220</v>
      </c>
      <c r="X677" t="s">
        <v>8221</v>
      </c>
      <c r="Y677" t="s">
        <v>8222</v>
      </c>
      <c r="Z677" t="s">
        <v>74</v>
      </c>
      <c r="AA677" t="s">
        <v>8223</v>
      </c>
      <c r="AB677" t="s">
        <v>8224</v>
      </c>
      <c r="AC677" t="s">
        <v>74</v>
      </c>
      <c r="AD677" t="s">
        <v>74</v>
      </c>
      <c r="AE677" t="s">
        <v>74</v>
      </c>
      <c r="AF677" t="s">
        <v>74</v>
      </c>
      <c r="AG677">
        <v>19</v>
      </c>
      <c r="AH677">
        <v>31</v>
      </c>
      <c r="AI677">
        <v>34</v>
      </c>
      <c r="AJ677">
        <v>0</v>
      </c>
      <c r="AK677">
        <v>4</v>
      </c>
      <c r="AL677" t="s">
        <v>179</v>
      </c>
      <c r="AM677" t="s">
        <v>88</v>
      </c>
      <c r="AN677" t="s">
        <v>180</v>
      </c>
      <c r="AO677" t="s">
        <v>181</v>
      </c>
      <c r="AP677" t="s">
        <v>182</v>
      </c>
      <c r="AQ677" t="s">
        <v>74</v>
      </c>
      <c r="AR677" t="s">
        <v>170</v>
      </c>
      <c r="AS677" t="s">
        <v>183</v>
      </c>
      <c r="AT677" t="s">
        <v>8225</v>
      </c>
      <c r="AU677">
        <v>1997</v>
      </c>
      <c r="AV677">
        <v>278</v>
      </c>
      <c r="AW677">
        <v>5341</v>
      </c>
      <c r="AX677" t="s">
        <v>74</v>
      </c>
      <c r="AY677" t="s">
        <v>74</v>
      </c>
      <c r="AZ677" t="s">
        <v>74</v>
      </c>
      <c r="BA677" t="s">
        <v>74</v>
      </c>
      <c r="BB677">
        <v>1281</v>
      </c>
      <c r="BC677">
        <v>1284</v>
      </c>
      <c r="BD677" t="s">
        <v>74</v>
      </c>
      <c r="BE677" t="s">
        <v>8226</v>
      </c>
      <c r="BF677" t="str">
        <f>HYPERLINK("http://dx.doi.org/10.1126/science.278.5341.1281","http://dx.doi.org/10.1126/science.278.5341.1281")</f>
        <v>http://dx.doi.org/10.1126/science.278.5341.1281</v>
      </c>
      <c r="BG677" t="s">
        <v>74</v>
      </c>
      <c r="BH677" t="s">
        <v>74</v>
      </c>
      <c r="BI677">
        <v>4</v>
      </c>
      <c r="BJ677" t="s">
        <v>186</v>
      </c>
      <c r="BK677" t="s">
        <v>98</v>
      </c>
      <c r="BL677" t="s">
        <v>187</v>
      </c>
      <c r="BM677" t="s">
        <v>8227</v>
      </c>
      <c r="BN677" t="s">
        <v>74</v>
      </c>
      <c r="BO677" t="s">
        <v>74</v>
      </c>
      <c r="BP677" t="s">
        <v>74</v>
      </c>
      <c r="BQ677" t="s">
        <v>74</v>
      </c>
      <c r="BR677" t="s">
        <v>101</v>
      </c>
      <c r="BS677" t="s">
        <v>8228</v>
      </c>
      <c r="BT677" t="str">
        <f>HYPERLINK("https%3A%2F%2Fwww.webofscience.com%2Fwos%2Fwoscc%2Ffull-record%2FWOS:A1997YG04300042","View Full Record in Web of Science")</f>
        <v>View Full Record in Web of Science</v>
      </c>
    </row>
    <row r="678" spans="1:72" x14ac:dyDescent="0.15">
      <c r="A678" t="s">
        <v>72</v>
      </c>
      <c r="B678" t="s">
        <v>8229</v>
      </c>
      <c r="C678" t="s">
        <v>74</v>
      </c>
      <c r="D678" t="s">
        <v>74</v>
      </c>
      <c r="E678" t="s">
        <v>74</v>
      </c>
      <c r="F678" t="s">
        <v>8229</v>
      </c>
      <c r="G678" t="s">
        <v>74</v>
      </c>
      <c r="H678" t="s">
        <v>74</v>
      </c>
      <c r="I678" t="s">
        <v>8230</v>
      </c>
      <c r="J678" t="s">
        <v>192</v>
      </c>
      <c r="K678" t="s">
        <v>74</v>
      </c>
      <c r="L678" t="s">
        <v>74</v>
      </c>
      <c r="M678" t="s">
        <v>77</v>
      </c>
      <c r="N678" t="s">
        <v>8231</v>
      </c>
      <c r="O678" t="s">
        <v>74</v>
      </c>
      <c r="P678" t="s">
        <v>74</v>
      </c>
      <c r="Q678" t="s">
        <v>74</v>
      </c>
      <c r="R678" t="s">
        <v>74</v>
      </c>
      <c r="S678" t="s">
        <v>74</v>
      </c>
      <c r="T678" t="s">
        <v>74</v>
      </c>
      <c r="U678" t="s">
        <v>74</v>
      </c>
      <c r="V678" t="s">
        <v>74</v>
      </c>
      <c r="W678" t="s">
        <v>74</v>
      </c>
      <c r="X678" t="s">
        <v>74</v>
      </c>
      <c r="Y678" t="s">
        <v>74</v>
      </c>
      <c r="Z678" t="s">
        <v>74</v>
      </c>
      <c r="AA678" t="s">
        <v>74</v>
      </c>
      <c r="AB678" t="s">
        <v>74</v>
      </c>
      <c r="AC678" t="s">
        <v>74</v>
      </c>
      <c r="AD678" t="s">
        <v>74</v>
      </c>
      <c r="AE678" t="s">
        <v>74</v>
      </c>
      <c r="AF678" t="s">
        <v>74</v>
      </c>
      <c r="AG678">
        <v>1</v>
      </c>
      <c r="AH678">
        <v>1</v>
      </c>
      <c r="AI678">
        <v>1</v>
      </c>
      <c r="AJ678">
        <v>0</v>
      </c>
      <c r="AK678">
        <v>0</v>
      </c>
      <c r="AL678" t="s">
        <v>200</v>
      </c>
      <c r="AM678" t="s">
        <v>201</v>
      </c>
      <c r="AN678" t="s">
        <v>202</v>
      </c>
      <c r="AO678" t="s">
        <v>203</v>
      </c>
      <c r="AP678" t="s">
        <v>74</v>
      </c>
      <c r="AQ678" t="s">
        <v>74</v>
      </c>
      <c r="AR678" t="s">
        <v>192</v>
      </c>
      <c r="AS678" t="s">
        <v>204</v>
      </c>
      <c r="AT678" t="s">
        <v>8232</v>
      </c>
      <c r="AU678">
        <v>1997</v>
      </c>
      <c r="AV678">
        <v>390</v>
      </c>
      <c r="AW678">
        <v>6656</v>
      </c>
      <c r="AX678" t="s">
        <v>74</v>
      </c>
      <c r="AY678" t="s">
        <v>74</v>
      </c>
      <c r="AZ678" t="s">
        <v>74</v>
      </c>
      <c r="BA678" t="s">
        <v>74</v>
      </c>
      <c r="BB678">
        <v>109</v>
      </c>
      <c r="BC678">
        <v>109</v>
      </c>
      <c r="BD678" t="s">
        <v>74</v>
      </c>
      <c r="BE678" t="s">
        <v>8233</v>
      </c>
      <c r="BF678" t="str">
        <f>HYPERLINK("http://dx.doi.org/10.1038/36418","http://dx.doi.org/10.1038/36418")</f>
        <v>http://dx.doi.org/10.1038/36418</v>
      </c>
      <c r="BG678" t="s">
        <v>74</v>
      </c>
      <c r="BH678" t="s">
        <v>74</v>
      </c>
      <c r="BI678">
        <v>1</v>
      </c>
      <c r="BJ678" t="s">
        <v>186</v>
      </c>
      <c r="BK678" t="s">
        <v>98</v>
      </c>
      <c r="BL678" t="s">
        <v>187</v>
      </c>
      <c r="BM678" t="s">
        <v>8234</v>
      </c>
      <c r="BN678" t="s">
        <v>74</v>
      </c>
      <c r="BO678" t="s">
        <v>100</v>
      </c>
      <c r="BP678" t="s">
        <v>74</v>
      </c>
      <c r="BQ678" t="s">
        <v>74</v>
      </c>
      <c r="BR678" t="s">
        <v>101</v>
      </c>
      <c r="BS678" t="s">
        <v>8235</v>
      </c>
      <c r="BT678" t="str">
        <f>HYPERLINK("https%3A%2F%2Fwww.webofscience.com%2Fwos%2Fwoscc%2Ffull-record%2FWOS:A1997YF49400014","View Full Record in Web of Science")</f>
        <v>View Full Record in Web of Science</v>
      </c>
    </row>
    <row r="679" spans="1:72" x14ac:dyDescent="0.15">
      <c r="A679" t="s">
        <v>72</v>
      </c>
      <c r="B679" t="s">
        <v>8236</v>
      </c>
      <c r="C679" t="s">
        <v>74</v>
      </c>
      <c r="D679" t="s">
        <v>74</v>
      </c>
      <c r="E679" t="s">
        <v>74</v>
      </c>
      <c r="F679" t="s">
        <v>8236</v>
      </c>
      <c r="G679" t="s">
        <v>74</v>
      </c>
      <c r="H679" t="s">
        <v>74</v>
      </c>
      <c r="I679" t="s">
        <v>8237</v>
      </c>
      <c r="J679" t="s">
        <v>170</v>
      </c>
      <c r="K679" t="s">
        <v>74</v>
      </c>
      <c r="L679" t="s">
        <v>74</v>
      </c>
      <c r="M679" t="s">
        <v>77</v>
      </c>
      <c r="N679" t="s">
        <v>212</v>
      </c>
      <c r="O679" t="s">
        <v>74</v>
      </c>
      <c r="P679" t="s">
        <v>74</v>
      </c>
      <c r="Q679" t="s">
        <v>74</v>
      </c>
      <c r="R679" t="s">
        <v>74</v>
      </c>
      <c r="S679" t="s">
        <v>74</v>
      </c>
      <c r="T679" t="s">
        <v>74</v>
      </c>
      <c r="U679" t="s">
        <v>74</v>
      </c>
      <c r="V679" t="s">
        <v>74</v>
      </c>
      <c r="W679" t="s">
        <v>74</v>
      </c>
      <c r="X679" t="s">
        <v>74</v>
      </c>
      <c r="Y679" t="s">
        <v>74</v>
      </c>
      <c r="Z679" t="s">
        <v>74</v>
      </c>
      <c r="AA679" t="s">
        <v>74</v>
      </c>
      <c r="AB679" t="s">
        <v>74</v>
      </c>
      <c r="AC679" t="s">
        <v>74</v>
      </c>
      <c r="AD679" t="s">
        <v>74</v>
      </c>
      <c r="AE679" t="s">
        <v>74</v>
      </c>
      <c r="AF679" t="s">
        <v>74</v>
      </c>
      <c r="AG679">
        <v>0</v>
      </c>
      <c r="AH679">
        <v>2</v>
      </c>
      <c r="AI679">
        <v>2</v>
      </c>
      <c r="AJ679">
        <v>0</v>
      </c>
      <c r="AK679">
        <v>0</v>
      </c>
      <c r="AL679" t="s">
        <v>179</v>
      </c>
      <c r="AM679" t="s">
        <v>88</v>
      </c>
      <c r="AN679" t="s">
        <v>8238</v>
      </c>
      <c r="AO679" t="s">
        <v>181</v>
      </c>
      <c r="AP679" t="s">
        <v>74</v>
      </c>
      <c r="AQ679" t="s">
        <v>74</v>
      </c>
      <c r="AR679" t="s">
        <v>170</v>
      </c>
      <c r="AS679" t="s">
        <v>183</v>
      </c>
      <c r="AT679" t="s">
        <v>8239</v>
      </c>
      <c r="AU679">
        <v>1997</v>
      </c>
      <c r="AV679">
        <v>278</v>
      </c>
      <c r="AW679">
        <v>5340</v>
      </c>
      <c r="AX679" t="s">
        <v>74</v>
      </c>
      <c r="AY679" t="s">
        <v>74</v>
      </c>
      <c r="AZ679" t="s">
        <v>74</v>
      </c>
      <c r="BA679" t="s">
        <v>74</v>
      </c>
      <c r="BB679">
        <v>1007</v>
      </c>
      <c r="BC679">
        <v>1008</v>
      </c>
      <c r="BD679" t="s">
        <v>74</v>
      </c>
      <c r="BE679" t="s">
        <v>74</v>
      </c>
      <c r="BF679" t="s">
        <v>74</v>
      </c>
      <c r="BG679" t="s">
        <v>74</v>
      </c>
      <c r="BH679" t="s">
        <v>74</v>
      </c>
      <c r="BI679">
        <v>2</v>
      </c>
      <c r="BJ679" t="s">
        <v>186</v>
      </c>
      <c r="BK679" t="s">
        <v>98</v>
      </c>
      <c r="BL679" t="s">
        <v>187</v>
      </c>
      <c r="BM679" t="s">
        <v>8240</v>
      </c>
      <c r="BN679" t="s">
        <v>74</v>
      </c>
      <c r="BO679" t="s">
        <v>74</v>
      </c>
      <c r="BP679" t="s">
        <v>74</v>
      </c>
      <c r="BQ679" t="s">
        <v>74</v>
      </c>
      <c r="BR679" t="s">
        <v>101</v>
      </c>
      <c r="BS679" t="s">
        <v>8241</v>
      </c>
      <c r="BT679" t="str">
        <f>HYPERLINK("https%3A%2F%2Fwww.webofscience.com%2Fwos%2Fwoscc%2Ffull-record%2FWOS:A1997YE65200012","View Full Record in Web of Science")</f>
        <v>View Full Record in Web of Science</v>
      </c>
    </row>
    <row r="680" spans="1:72" x14ac:dyDescent="0.15">
      <c r="A680" t="s">
        <v>72</v>
      </c>
      <c r="B680" t="s">
        <v>8242</v>
      </c>
      <c r="C680" t="s">
        <v>74</v>
      </c>
      <c r="D680" t="s">
        <v>74</v>
      </c>
      <c r="E680" t="s">
        <v>74</v>
      </c>
      <c r="F680" t="s">
        <v>8242</v>
      </c>
      <c r="G680" t="s">
        <v>74</v>
      </c>
      <c r="H680" t="s">
        <v>74</v>
      </c>
      <c r="I680" t="s">
        <v>8243</v>
      </c>
      <c r="J680" t="s">
        <v>170</v>
      </c>
      <c r="K680" t="s">
        <v>74</v>
      </c>
      <c r="L680" t="s">
        <v>74</v>
      </c>
      <c r="M680" t="s">
        <v>77</v>
      </c>
      <c r="N680" t="s">
        <v>78</v>
      </c>
      <c r="O680" t="s">
        <v>74</v>
      </c>
      <c r="P680" t="s">
        <v>74</v>
      </c>
      <c r="Q680" t="s">
        <v>74</v>
      </c>
      <c r="R680" t="s">
        <v>74</v>
      </c>
      <c r="S680" t="s">
        <v>74</v>
      </c>
      <c r="T680" t="s">
        <v>74</v>
      </c>
      <c r="U680" t="s">
        <v>8244</v>
      </c>
      <c r="V680" t="s">
        <v>8245</v>
      </c>
      <c r="W680" t="s">
        <v>74</v>
      </c>
      <c r="X680" t="s">
        <v>74</v>
      </c>
      <c r="Y680" t="s">
        <v>8246</v>
      </c>
      <c r="Z680" t="s">
        <v>74</v>
      </c>
      <c r="AA680" t="s">
        <v>8247</v>
      </c>
      <c r="AB680" t="s">
        <v>8248</v>
      </c>
      <c r="AC680" t="s">
        <v>74</v>
      </c>
      <c r="AD680" t="s">
        <v>74</v>
      </c>
      <c r="AE680" t="s">
        <v>74</v>
      </c>
      <c r="AF680" t="s">
        <v>74</v>
      </c>
      <c r="AG680">
        <v>23</v>
      </c>
      <c r="AH680">
        <v>281</v>
      </c>
      <c r="AI680">
        <v>321</v>
      </c>
      <c r="AJ680">
        <v>2</v>
      </c>
      <c r="AK680">
        <v>17</v>
      </c>
      <c r="AL680" t="s">
        <v>179</v>
      </c>
      <c r="AM680" t="s">
        <v>88</v>
      </c>
      <c r="AN680" t="s">
        <v>8238</v>
      </c>
      <c r="AO680" t="s">
        <v>181</v>
      </c>
      <c r="AP680" t="s">
        <v>74</v>
      </c>
      <c r="AQ680" t="s">
        <v>74</v>
      </c>
      <c r="AR680" t="s">
        <v>170</v>
      </c>
      <c r="AS680" t="s">
        <v>183</v>
      </c>
      <c r="AT680" t="s">
        <v>8239</v>
      </c>
      <c r="AU680">
        <v>1997</v>
      </c>
      <c r="AV680">
        <v>278</v>
      </c>
      <c r="AW680">
        <v>5340</v>
      </c>
      <c r="AX680" t="s">
        <v>74</v>
      </c>
      <c r="AY680" t="s">
        <v>74</v>
      </c>
      <c r="AZ680" t="s">
        <v>74</v>
      </c>
      <c r="BA680" t="s">
        <v>74</v>
      </c>
      <c r="BB680">
        <v>1104</v>
      </c>
      <c r="BC680">
        <v>1106</v>
      </c>
      <c r="BD680" t="s">
        <v>74</v>
      </c>
      <c r="BE680" t="s">
        <v>8249</v>
      </c>
      <c r="BF680" t="str">
        <f>HYPERLINK("http://dx.doi.org/10.1126/science.278.5340.1104","http://dx.doi.org/10.1126/science.278.5340.1104")</f>
        <v>http://dx.doi.org/10.1126/science.278.5340.1104</v>
      </c>
      <c r="BG680" t="s">
        <v>74</v>
      </c>
      <c r="BH680" t="s">
        <v>74</v>
      </c>
      <c r="BI680">
        <v>3</v>
      </c>
      <c r="BJ680" t="s">
        <v>186</v>
      </c>
      <c r="BK680" t="s">
        <v>98</v>
      </c>
      <c r="BL680" t="s">
        <v>187</v>
      </c>
      <c r="BM680" t="s">
        <v>8240</v>
      </c>
      <c r="BN680" t="s">
        <v>74</v>
      </c>
      <c r="BO680" t="s">
        <v>74</v>
      </c>
      <c r="BP680" t="s">
        <v>74</v>
      </c>
      <c r="BQ680" t="s">
        <v>74</v>
      </c>
      <c r="BR680" t="s">
        <v>101</v>
      </c>
      <c r="BS680" t="s">
        <v>8250</v>
      </c>
      <c r="BT680" t="str">
        <f>HYPERLINK("https%3A%2F%2Fwww.webofscience.com%2Fwos%2Fwoscc%2Ffull-record%2FWOS:A1997YE65200045","View Full Record in Web of Science")</f>
        <v>View Full Record in Web of Science</v>
      </c>
    </row>
    <row r="681" spans="1:72" x14ac:dyDescent="0.15">
      <c r="A681" t="s">
        <v>72</v>
      </c>
      <c r="B681" t="s">
        <v>8251</v>
      </c>
      <c r="C681" t="s">
        <v>74</v>
      </c>
      <c r="D681" t="s">
        <v>74</v>
      </c>
      <c r="E681" t="s">
        <v>74</v>
      </c>
      <c r="F681" t="s">
        <v>8251</v>
      </c>
      <c r="G681" t="s">
        <v>74</v>
      </c>
      <c r="H681" t="s">
        <v>74</v>
      </c>
      <c r="I681" t="s">
        <v>8252</v>
      </c>
      <c r="J681" t="s">
        <v>8253</v>
      </c>
      <c r="K681" t="s">
        <v>74</v>
      </c>
      <c r="L681" t="s">
        <v>74</v>
      </c>
      <c r="M681" t="s">
        <v>77</v>
      </c>
      <c r="N681" t="s">
        <v>78</v>
      </c>
      <c r="O681" t="s">
        <v>74</v>
      </c>
      <c r="P681" t="s">
        <v>74</v>
      </c>
      <c r="Q681" t="s">
        <v>74</v>
      </c>
      <c r="R681" t="s">
        <v>74</v>
      </c>
      <c r="S681" t="s">
        <v>74</v>
      </c>
      <c r="T681" t="s">
        <v>74</v>
      </c>
      <c r="U681" t="s">
        <v>8254</v>
      </c>
      <c r="V681" t="s">
        <v>8255</v>
      </c>
      <c r="W681" t="s">
        <v>8256</v>
      </c>
      <c r="X681" t="s">
        <v>672</v>
      </c>
      <c r="Y681" t="s">
        <v>8257</v>
      </c>
      <c r="Z681" t="s">
        <v>74</v>
      </c>
      <c r="AA681" t="s">
        <v>74</v>
      </c>
      <c r="AB681" t="s">
        <v>74</v>
      </c>
      <c r="AC681" t="s">
        <v>74</v>
      </c>
      <c r="AD681" t="s">
        <v>74</v>
      </c>
      <c r="AE681" t="s">
        <v>74</v>
      </c>
      <c r="AF681" t="s">
        <v>74</v>
      </c>
      <c r="AG681">
        <v>42</v>
      </c>
      <c r="AH681">
        <v>30</v>
      </c>
      <c r="AI681">
        <v>37</v>
      </c>
      <c r="AJ681">
        <v>0</v>
      </c>
      <c r="AK681">
        <v>15</v>
      </c>
      <c r="AL681" t="s">
        <v>8258</v>
      </c>
      <c r="AM681" t="s">
        <v>486</v>
      </c>
      <c r="AN681" t="s">
        <v>8259</v>
      </c>
      <c r="AO681" t="s">
        <v>8260</v>
      </c>
      <c r="AP681" t="s">
        <v>74</v>
      </c>
      <c r="AQ681" t="s">
        <v>74</v>
      </c>
      <c r="AR681" t="s">
        <v>8261</v>
      </c>
      <c r="AS681" t="s">
        <v>8262</v>
      </c>
      <c r="AT681" t="s">
        <v>8263</v>
      </c>
      <c r="AU681">
        <v>1997</v>
      </c>
      <c r="AV681">
        <v>29</v>
      </c>
      <c r="AW681">
        <v>4</v>
      </c>
      <c r="AX681" t="s">
        <v>74</v>
      </c>
      <c r="AY681" t="s">
        <v>74</v>
      </c>
      <c r="AZ681" t="s">
        <v>74</v>
      </c>
      <c r="BA681" t="s">
        <v>74</v>
      </c>
      <c r="BB681">
        <v>483</v>
      </c>
      <c r="BC681">
        <v>491</v>
      </c>
      <c r="BD681" t="s">
        <v>74</v>
      </c>
      <c r="BE681" t="s">
        <v>8264</v>
      </c>
      <c r="BF681" t="str">
        <f>HYPERLINK("http://dx.doi.org/10.2307/1551996","http://dx.doi.org/10.2307/1551996")</f>
        <v>http://dx.doi.org/10.2307/1551996</v>
      </c>
      <c r="BG681" t="s">
        <v>74</v>
      </c>
      <c r="BH681" t="s">
        <v>74</v>
      </c>
      <c r="BI681">
        <v>9</v>
      </c>
      <c r="BJ681" t="s">
        <v>8265</v>
      </c>
      <c r="BK681" t="s">
        <v>98</v>
      </c>
      <c r="BL681" t="s">
        <v>8266</v>
      </c>
      <c r="BM681" t="s">
        <v>8267</v>
      </c>
      <c r="BN681" t="s">
        <v>74</v>
      </c>
      <c r="BO681" t="s">
        <v>74</v>
      </c>
      <c r="BP681" t="s">
        <v>74</v>
      </c>
      <c r="BQ681" t="s">
        <v>74</v>
      </c>
      <c r="BR681" t="s">
        <v>101</v>
      </c>
      <c r="BS681" t="s">
        <v>8268</v>
      </c>
      <c r="BT681" t="str">
        <f>HYPERLINK("https%3A%2F%2Fwww.webofscience.com%2Fwos%2Fwoscc%2Ffull-record%2FWOS:A1997YL52000012","View Full Record in Web of Science")</f>
        <v>View Full Record in Web of Science</v>
      </c>
    </row>
    <row r="682" spans="1:72" x14ac:dyDescent="0.15">
      <c r="A682" t="s">
        <v>72</v>
      </c>
      <c r="B682" t="s">
        <v>8269</v>
      </c>
      <c r="C682" t="s">
        <v>74</v>
      </c>
      <c r="D682" t="s">
        <v>74</v>
      </c>
      <c r="E682" t="s">
        <v>74</v>
      </c>
      <c r="F682" t="s">
        <v>8269</v>
      </c>
      <c r="G682" t="s">
        <v>74</v>
      </c>
      <c r="H682" t="s">
        <v>74</v>
      </c>
      <c r="I682" t="s">
        <v>8270</v>
      </c>
      <c r="J682" t="s">
        <v>7145</v>
      </c>
      <c r="K682" t="s">
        <v>74</v>
      </c>
      <c r="L682" t="s">
        <v>74</v>
      </c>
      <c r="M682" t="s">
        <v>77</v>
      </c>
      <c r="N682" t="s">
        <v>78</v>
      </c>
      <c r="O682" t="s">
        <v>74</v>
      </c>
      <c r="P682" t="s">
        <v>74</v>
      </c>
      <c r="Q682" t="s">
        <v>74</v>
      </c>
      <c r="R682" t="s">
        <v>74</v>
      </c>
      <c r="S682" t="s">
        <v>74</v>
      </c>
      <c r="T682" t="s">
        <v>8271</v>
      </c>
      <c r="U682" t="s">
        <v>8272</v>
      </c>
      <c r="V682" t="s">
        <v>8273</v>
      </c>
      <c r="W682" t="s">
        <v>8274</v>
      </c>
      <c r="X682" t="s">
        <v>8275</v>
      </c>
      <c r="Y682" t="s">
        <v>8276</v>
      </c>
      <c r="Z682" t="s">
        <v>74</v>
      </c>
      <c r="AA682" t="s">
        <v>74</v>
      </c>
      <c r="AB682" t="s">
        <v>74</v>
      </c>
      <c r="AC682" t="s">
        <v>74</v>
      </c>
      <c r="AD682" t="s">
        <v>74</v>
      </c>
      <c r="AE682" t="s">
        <v>74</v>
      </c>
      <c r="AF682" t="s">
        <v>74</v>
      </c>
      <c r="AG682">
        <v>43</v>
      </c>
      <c r="AH682">
        <v>32</v>
      </c>
      <c r="AI682">
        <v>37</v>
      </c>
      <c r="AJ682">
        <v>0</v>
      </c>
      <c r="AK682">
        <v>6</v>
      </c>
      <c r="AL682" t="s">
        <v>451</v>
      </c>
      <c r="AM682" t="s">
        <v>214</v>
      </c>
      <c r="AN682" t="s">
        <v>452</v>
      </c>
      <c r="AO682" t="s">
        <v>7152</v>
      </c>
      <c r="AP682" t="s">
        <v>74</v>
      </c>
      <c r="AQ682" t="s">
        <v>74</v>
      </c>
      <c r="AR682" t="s">
        <v>7153</v>
      </c>
      <c r="AS682" t="s">
        <v>7154</v>
      </c>
      <c r="AT682" t="s">
        <v>8263</v>
      </c>
      <c r="AU682">
        <v>1997</v>
      </c>
      <c r="AV682">
        <v>31</v>
      </c>
      <c r="AW682">
        <v>22</v>
      </c>
      <c r="AX682" t="s">
        <v>74</v>
      </c>
      <c r="AY682" t="s">
        <v>74</v>
      </c>
      <c r="AZ682" t="s">
        <v>74</v>
      </c>
      <c r="BA682" t="s">
        <v>74</v>
      </c>
      <c r="BB682">
        <v>3763</v>
      </c>
      <c r="BC682">
        <v>3771</v>
      </c>
      <c r="BD682" t="s">
        <v>74</v>
      </c>
      <c r="BE682" t="s">
        <v>8277</v>
      </c>
      <c r="BF682" t="str">
        <f>HYPERLINK("http://dx.doi.org/10.1016/S1352-2310(97)00220-3","http://dx.doi.org/10.1016/S1352-2310(97)00220-3")</f>
        <v>http://dx.doi.org/10.1016/S1352-2310(97)00220-3</v>
      </c>
      <c r="BG682" t="s">
        <v>74</v>
      </c>
      <c r="BH682" t="s">
        <v>74</v>
      </c>
      <c r="BI682">
        <v>9</v>
      </c>
      <c r="BJ682" t="s">
        <v>5017</v>
      </c>
      <c r="BK682" t="s">
        <v>98</v>
      </c>
      <c r="BL682" t="s">
        <v>5018</v>
      </c>
      <c r="BM682" t="s">
        <v>8278</v>
      </c>
      <c r="BN682" t="s">
        <v>74</v>
      </c>
      <c r="BO682" t="s">
        <v>1351</v>
      </c>
      <c r="BP682" t="s">
        <v>74</v>
      </c>
      <c r="BQ682" t="s">
        <v>74</v>
      </c>
      <c r="BR682" t="s">
        <v>101</v>
      </c>
      <c r="BS682" t="s">
        <v>8279</v>
      </c>
      <c r="BT682" t="str">
        <f>HYPERLINK("https%3A%2F%2Fwww.webofscience.com%2Fwos%2Fwoscc%2Ffull-record%2FWOS:A1997XX49500009","View Full Record in Web of Science")</f>
        <v>View Full Record in Web of Science</v>
      </c>
    </row>
    <row r="683" spans="1:72" x14ac:dyDescent="0.15">
      <c r="A683" t="s">
        <v>72</v>
      </c>
      <c r="B683" t="s">
        <v>8280</v>
      </c>
      <c r="C683" t="s">
        <v>74</v>
      </c>
      <c r="D683" t="s">
        <v>74</v>
      </c>
      <c r="E683" t="s">
        <v>74</v>
      </c>
      <c r="F683" t="s">
        <v>8280</v>
      </c>
      <c r="G683" t="s">
        <v>74</v>
      </c>
      <c r="H683" t="s">
        <v>74</v>
      </c>
      <c r="I683" t="s">
        <v>8281</v>
      </c>
      <c r="J683" t="s">
        <v>8282</v>
      </c>
      <c r="K683" t="s">
        <v>74</v>
      </c>
      <c r="L683" t="s">
        <v>74</v>
      </c>
      <c r="M683" t="s">
        <v>77</v>
      </c>
      <c r="N683" t="s">
        <v>78</v>
      </c>
      <c r="O683" t="s">
        <v>74</v>
      </c>
      <c r="P683" t="s">
        <v>74</v>
      </c>
      <c r="Q683" t="s">
        <v>74</v>
      </c>
      <c r="R683" t="s">
        <v>74</v>
      </c>
      <c r="S683" t="s">
        <v>74</v>
      </c>
      <c r="T683" t="s">
        <v>8283</v>
      </c>
      <c r="U683" t="s">
        <v>8284</v>
      </c>
      <c r="V683" t="s">
        <v>8285</v>
      </c>
      <c r="W683" t="s">
        <v>74</v>
      </c>
      <c r="X683" t="s">
        <v>74</v>
      </c>
      <c r="Y683" t="s">
        <v>8286</v>
      </c>
      <c r="Z683" t="s">
        <v>74</v>
      </c>
      <c r="AA683" t="s">
        <v>74</v>
      </c>
      <c r="AB683" t="s">
        <v>74</v>
      </c>
      <c r="AC683" t="s">
        <v>74</v>
      </c>
      <c r="AD683" t="s">
        <v>74</v>
      </c>
      <c r="AE683" t="s">
        <v>74</v>
      </c>
      <c r="AF683" t="s">
        <v>74</v>
      </c>
      <c r="AG683">
        <v>71</v>
      </c>
      <c r="AH683">
        <v>6</v>
      </c>
      <c r="AI683">
        <v>6</v>
      </c>
      <c r="AJ683">
        <v>1</v>
      </c>
      <c r="AK683">
        <v>5</v>
      </c>
      <c r="AL683" t="s">
        <v>877</v>
      </c>
      <c r="AM683" t="s">
        <v>826</v>
      </c>
      <c r="AN683" t="s">
        <v>827</v>
      </c>
      <c r="AO683" t="s">
        <v>8287</v>
      </c>
      <c r="AP683" t="s">
        <v>8288</v>
      </c>
      <c r="AQ683" t="s">
        <v>74</v>
      </c>
      <c r="AR683" t="s">
        <v>8289</v>
      </c>
      <c r="AS683" t="s">
        <v>8290</v>
      </c>
      <c r="AT683" t="s">
        <v>8263</v>
      </c>
      <c r="AU683">
        <v>1997</v>
      </c>
      <c r="AV683">
        <v>72</v>
      </c>
      <c r="AW683">
        <v>4</v>
      </c>
      <c r="AX683" t="s">
        <v>74</v>
      </c>
      <c r="AY683" t="s">
        <v>74</v>
      </c>
      <c r="AZ683" t="s">
        <v>74</v>
      </c>
      <c r="BA683" t="s">
        <v>74</v>
      </c>
      <c r="BB683">
        <v>549</v>
      </c>
      <c r="BC683">
        <v>564</v>
      </c>
      <c r="BD683" t="s">
        <v>74</v>
      </c>
      <c r="BE683" t="s">
        <v>8291</v>
      </c>
      <c r="BF683" t="str">
        <f>HYPERLINK("http://dx.doi.org/10.1017/S0006323197005094","http://dx.doi.org/10.1017/S0006323197005094")</f>
        <v>http://dx.doi.org/10.1017/S0006323197005094</v>
      </c>
      <c r="BG683" t="s">
        <v>74</v>
      </c>
      <c r="BH683" t="s">
        <v>74</v>
      </c>
      <c r="BI683">
        <v>16</v>
      </c>
      <c r="BJ683" t="s">
        <v>1386</v>
      </c>
      <c r="BK683" t="s">
        <v>98</v>
      </c>
      <c r="BL683" t="s">
        <v>1387</v>
      </c>
      <c r="BM683" t="s">
        <v>8292</v>
      </c>
      <c r="BN683" t="s">
        <v>74</v>
      </c>
      <c r="BO683" t="s">
        <v>74</v>
      </c>
      <c r="BP683" t="s">
        <v>74</v>
      </c>
      <c r="BQ683" t="s">
        <v>74</v>
      </c>
      <c r="BR683" t="s">
        <v>101</v>
      </c>
      <c r="BS683" t="s">
        <v>8293</v>
      </c>
      <c r="BT683" t="str">
        <f>HYPERLINK("https%3A%2F%2Fwww.webofscience.com%2Fwos%2Fwoscc%2Ffull-record%2FWOS:A1997YH56100003","View Full Record in Web of Science")</f>
        <v>View Full Record in Web of Science</v>
      </c>
    </row>
    <row r="684" spans="1:72" x14ac:dyDescent="0.15">
      <c r="A684" t="s">
        <v>72</v>
      </c>
      <c r="B684" t="s">
        <v>8294</v>
      </c>
      <c r="C684" t="s">
        <v>74</v>
      </c>
      <c r="D684" t="s">
        <v>74</v>
      </c>
      <c r="E684" t="s">
        <v>74</v>
      </c>
      <c r="F684" t="s">
        <v>8294</v>
      </c>
      <c r="G684" t="s">
        <v>74</v>
      </c>
      <c r="H684" t="s">
        <v>74</v>
      </c>
      <c r="I684" t="s">
        <v>8295</v>
      </c>
      <c r="J684" t="s">
        <v>403</v>
      </c>
      <c r="K684" t="s">
        <v>74</v>
      </c>
      <c r="L684" t="s">
        <v>74</v>
      </c>
      <c r="M684" t="s">
        <v>77</v>
      </c>
      <c r="N684" t="s">
        <v>78</v>
      </c>
      <c r="O684" t="s">
        <v>74</v>
      </c>
      <c r="P684" t="s">
        <v>74</v>
      </c>
      <c r="Q684" t="s">
        <v>74</v>
      </c>
      <c r="R684" t="s">
        <v>74</v>
      </c>
      <c r="S684" t="s">
        <v>74</v>
      </c>
      <c r="T684" t="s">
        <v>74</v>
      </c>
      <c r="U684" t="s">
        <v>8296</v>
      </c>
      <c r="V684" t="s">
        <v>8297</v>
      </c>
      <c r="W684" t="s">
        <v>8298</v>
      </c>
      <c r="X684" t="s">
        <v>8299</v>
      </c>
      <c r="Y684" t="s">
        <v>8300</v>
      </c>
      <c r="Z684" t="s">
        <v>8301</v>
      </c>
      <c r="AA684" t="s">
        <v>8302</v>
      </c>
      <c r="AB684" t="s">
        <v>8303</v>
      </c>
      <c r="AC684" t="s">
        <v>74</v>
      </c>
      <c r="AD684" t="s">
        <v>74</v>
      </c>
      <c r="AE684" t="s">
        <v>74</v>
      </c>
      <c r="AF684" t="s">
        <v>74</v>
      </c>
      <c r="AG684">
        <v>43</v>
      </c>
      <c r="AH684">
        <v>38</v>
      </c>
      <c r="AI684">
        <v>51</v>
      </c>
      <c r="AJ684">
        <v>2</v>
      </c>
      <c r="AK684">
        <v>14</v>
      </c>
      <c r="AL684" t="s">
        <v>8304</v>
      </c>
      <c r="AM684" t="s">
        <v>411</v>
      </c>
      <c r="AN684" t="s">
        <v>8305</v>
      </c>
      <c r="AO684" t="s">
        <v>413</v>
      </c>
      <c r="AP684" t="s">
        <v>8306</v>
      </c>
      <c r="AQ684" t="s">
        <v>74</v>
      </c>
      <c r="AR684" t="s">
        <v>414</v>
      </c>
      <c r="AS684" t="s">
        <v>415</v>
      </c>
      <c r="AT684" t="s">
        <v>8263</v>
      </c>
      <c r="AU684">
        <v>1997</v>
      </c>
      <c r="AV684">
        <v>75</v>
      </c>
      <c r="AW684">
        <v>11</v>
      </c>
      <c r="AX684" t="s">
        <v>74</v>
      </c>
      <c r="AY684" t="s">
        <v>74</v>
      </c>
      <c r="AZ684" t="s">
        <v>74</v>
      </c>
      <c r="BA684" t="s">
        <v>74</v>
      </c>
      <c r="BB684">
        <v>1773</v>
      </c>
      <c r="BC684">
        <v>1780</v>
      </c>
      <c r="BD684" t="s">
        <v>74</v>
      </c>
      <c r="BE684" t="s">
        <v>8307</v>
      </c>
      <c r="BF684" t="str">
        <f>HYPERLINK("http://dx.doi.org/10.1139/z97-806","http://dx.doi.org/10.1139/z97-806")</f>
        <v>http://dx.doi.org/10.1139/z97-806</v>
      </c>
      <c r="BG684" t="s">
        <v>74</v>
      </c>
      <c r="BH684" t="s">
        <v>74</v>
      </c>
      <c r="BI684">
        <v>8</v>
      </c>
      <c r="BJ684" t="s">
        <v>417</v>
      </c>
      <c r="BK684" t="s">
        <v>98</v>
      </c>
      <c r="BL684" t="s">
        <v>417</v>
      </c>
      <c r="BM684" t="s">
        <v>8308</v>
      </c>
      <c r="BN684" t="s">
        <v>74</v>
      </c>
      <c r="BO684" t="s">
        <v>74</v>
      </c>
      <c r="BP684" t="s">
        <v>74</v>
      </c>
      <c r="BQ684" t="s">
        <v>74</v>
      </c>
      <c r="BR684" t="s">
        <v>101</v>
      </c>
      <c r="BS684" t="s">
        <v>8309</v>
      </c>
      <c r="BT684" t="str">
        <f>HYPERLINK("https%3A%2F%2Fwww.webofscience.com%2Fwos%2Fwoscc%2Ffull-record%2FWOS:000070948200003","View Full Record in Web of Science")</f>
        <v>View Full Record in Web of Science</v>
      </c>
    </row>
    <row r="685" spans="1:72" x14ac:dyDescent="0.15">
      <c r="A685" t="s">
        <v>72</v>
      </c>
      <c r="B685" t="s">
        <v>8310</v>
      </c>
      <c r="C685" t="s">
        <v>74</v>
      </c>
      <c r="D685" t="s">
        <v>74</v>
      </c>
      <c r="E685" t="s">
        <v>74</v>
      </c>
      <c r="F685" t="s">
        <v>8310</v>
      </c>
      <c r="G685" t="s">
        <v>74</v>
      </c>
      <c r="H685" t="s">
        <v>74</v>
      </c>
      <c r="I685" t="s">
        <v>8311</v>
      </c>
      <c r="J685" t="s">
        <v>403</v>
      </c>
      <c r="K685" t="s">
        <v>74</v>
      </c>
      <c r="L685" t="s">
        <v>74</v>
      </c>
      <c r="M685" t="s">
        <v>77</v>
      </c>
      <c r="N685" t="s">
        <v>78</v>
      </c>
      <c r="O685" t="s">
        <v>74</v>
      </c>
      <c r="P685" t="s">
        <v>74</v>
      </c>
      <c r="Q685" t="s">
        <v>74</v>
      </c>
      <c r="R685" t="s">
        <v>74</v>
      </c>
      <c r="S685" t="s">
        <v>74</v>
      </c>
      <c r="T685" t="s">
        <v>74</v>
      </c>
      <c r="U685" t="s">
        <v>8312</v>
      </c>
      <c r="V685" t="s">
        <v>8313</v>
      </c>
      <c r="W685" t="s">
        <v>8314</v>
      </c>
      <c r="X685" t="s">
        <v>8315</v>
      </c>
      <c r="Y685" t="s">
        <v>8316</v>
      </c>
      <c r="Z685" t="s">
        <v>74</v>
      </c>
      <c r="AA685" t="s">
        <v>8317</v>
      </c>
      <c r="AB685" t="s">
        <v>8318</v>
      </c>
      <c r="AC685" t="s">
        <v>74</v>
      </c>
      <c r="AD685" t="s">
        <v>74</v>
      </c>
      <c r="AE685" t="s">
        <v>74</v>
      </c>
      <c r="AF685" t="s">
        <v>74</v>
      </c>
      <c r="AG685">
        <v>61</v>
      </c>
      <c r="AH685">
        <v>36</v>
      </c>
      <c r="AI685">
        <v>40</v>
      </c>
      <c r="AJ685">
        <v>1</v>
      </c>
      <c r="AK685">
        <v>15</v>
      </c>
      <c r="AL685" t="s">
        <v>410</v>
      </c>
      <c r="AM685" t="s">
        <v>411</v>
      </c>
      <c r="AN685" t="s">
        <v>412</v>
      </c>
      <c r="AO685" t="s">
        <v>413</v>
      </c>
      <c r="AP685" t="s">
        <v>74</v>
      </c>
      <c r="AQ685" t="s">
        <v>74</v>
      </c>
      <c r="AR685" t="s">
        <v>414</v>
      </c>
      <c r="AS685" t="s">
        <v>415</v>
      </c>
      <c r="AT685" t="s">
        <v>8263</v>
      </c>
      <c r="AU685">
        <v>1997</v>
      </c>
      <c r="AV685">
        <v>75</v>
      </c>
      <c r="AW685">
        <v>11</v>
      </c>
      <c r="AX685" t="s">
        <v>74</v>
      </c>
      <c r="AY685" t="s">
        <v>74</v>
      </c>
      <c r="AZ685" t="s">
        <v>74</v>
      </c>
      <c r="BA685" t="s">
        <v>74</v>
      </c>
      <c r="BB685">
        <v>1796</v>
      </c>
      <c r="BC685">
        <v>1810</v>
      </c>
      <c r="BD685" t="s">
        <v>74</v>
      </c>
      <c r="BE685" t="s">
        <v>8319</v>
      </c>
      <c r="BF685" t="str">
        <f>HYPERLINK("http://dx.doi.org/10.1139/z97-809","http://dx.doi.org/10.1139/z97-809")</f>
        <v>http://dx.doi.org/10.1139/z97-809</v>
      </c>
      <c r="BG685" t="s">
        <v>74</v>
      </c>
      <c r="BH685" t="s">
        <v>74</v>
      </c>
      <c r="BI685">
        <v>15</v>
      </c>
      <c r="BJ685" t="s">
        <v>417</v>
      </c>
      <c r="BK685" t="s">
        <v>98</v>
      </c>
      <c r="BL685" t="s">
        <v>417</v>
      </c>
      <c r="BM685" t="s">
        <v>8308</v>
      </c>
      <c r="BN685" t="s">
        <v>74</v>
      </c>
      <c r="BO685" t="s">
        <v>74</v>
      </c>
      <c r="BP685" t="s">
        <v>74</v>
      </c>
      <c r="BQ685" t="s">
        <v>74</v>
      </c>
      <c r="BR685" t="s">
        <v>101</v>
      </c>
      <c r="BS685" t="s">
        <v>8320</v>
      </c>
      <c r="BT685" t="str">
        <f>HYPERLINK("https%3A%2F%2Fwww.webofscience.com%2Fwos%2Fwoscc%2Ffull-record%2FWOS:000070948200006","View Full Record in Web of Science")</f>
        <v>View Full Record in Web of Science</v>
      </c>
    </row>
    <row r="686" spans="1:72" x14ac:dyDescent="0.15">
      <c r="A686" t="s">
        <v>72</v>
      </c>
      <c r="B686" t="s">
        <v>8321</v>
      </c>
      <c r="C686" t="s">
        <v>74</v>
      </c>
      <c r="D686" t="s">
        <v>74</v>
      </c>
      <c r="E686" t="s">
        <v>74</v>
      </c>
      <c r="F686" t="s">
        <v>8321</v>
      </c>
      <c r="G686" t="s">
        <v>74</v>
      </c>
      <c r="H686" t="s">
        <v>74</v>
      </c>
      <c r="I686" t="s">
        <v>8322</v>
      </c>
      <c r="J686" t="s">
        <v>4035</v>
      </c>
      <c r="K686" t="s">
        <v>74</v>
      </c>
      <c r="L686" t="s">
        <v>74</v>
      </c>
      <c r="M686" t="s">
        <v>77</v>
      </c>
      <c r="N686" t="s">
        <v>78</v>
      </c>
      <c r="O686" t="s">
        <v>74</v>
      </c>
      <c r="P686" t="s">
        <v>74</v>
      </c>
      <c r="Q686" t="s">
        <v>74</v>
      </c>
      <c r="R686" t="s">
        <v>74</v>
      </c>
      <c r="S686" t="s">
        <v>74</v>
      </c>
      <c r="T686" t="s">
        <v>8323</v>
      </c>
      <c r="U686" t="s">
        <v>8324</v>
      </c>
      <c r="V686" t="s">
        <v>8325</v>
      </c>
      <c r="W686" t="s">
        <v>74</v>
      </c>
      <c r="X686" t="s">
        <v>74</v>
      </c>
      <c r="Y686" t="s">
        <v>8326</v>
      </c>
      <c r="Z686" t="s">
        <v>74</v>
      </c>
      <c r="AA686" t="s">
        <v>74</v>
      </c>
      <c r="AB686" t="s">
        <v>74</v>
      </c>
      <c r="AC686" t="s">
        <v>74</v>
      </c>
      <c r="AD686" t="s">
        <v>74</v>
      </c>
      <c r="AE686" t="s">
        <v>74</v>
      </c>
      <c r="AF686" t="s">
        <v>74</v>
      </c>
      <c r="AG686">
        <v>49</v>
      </c>
      <c r="AH686">
        <v>63</v>
      </c>
      <c r="AI686">
        <v>78</v>
      </c>
      <c r="AJ686">
        <v>0</v>
      </c>
      <c r="AK686">
        <v>18</v>
      </c>
      <c r="AL686" t="s">
        <v>4047</v>
      </c>
      <c r="AM686" t="s">
        <v>244</v>
      </c>
      <c r="AN686" t="s">
        <v>4048</v>
      </c>
      <c r="AO686" t="s">
        <v>4049</v>
      </c>
      <c r="AP686" t="s">
        <v>4050</v>
      </c>
      <c r="AQ686" t="s">
        <v>74</v>
      </c>
      <c r="AR686" t="s">
        <v>4051</v>
      </c>
      <c r="AS686" t="s">
        <v>4052</v>
      </c>
      <c r="AT686" t="s">
        <v>8263</v>
      </c>
      <c r="AU686">
        <v>1997</v>
      </c>
      <c r="AV686">
        <v>118</v>
      </c>
      <c r="AW686">
        <v>3</v>
      </c>
      <c r="AX686" t="s">
        <v>74</v>
      </c>
      <c r="AY686" t="s">
        <v>74</v>
      </c>
      <c r="AZ686" t="s">
        <v>74</v>
      </c>
      <c r="BA686" t="s">
        <v>74</v>
      </c>
      <c r="BB686">
        <v>495</v>
      </c>
      <c r="BC686">
        <v>499</v>
      </c>
      <c r="BD686" t="s">
        <v>74</v>
      </c>
      <c r="BE686" t="s">
        <v>8327</v>
      </c>
      <c r="BF686" t="str">
        <f>HYPERLINK("http://dx.doi.org/10.1016/S0300-9629(97)00011-X","http://dx.doi.org/10.1016/S0300-9629(97)00011-X")</f>
        <v>http://dx.doi.org/10.1016/S0300-9629(97)00011-X</v>
      </c>
      <c r="BG686" t="s">
        <v>74</v>
      </c>
      <c r="BH686" t="s">
        <v>74</v>
      </c>
      <c r="BI686">
        <v>5</v>
      </c>
      <c r="BJ686" t="s">
        <v>4054</v>
      </c>
      <c r="BK686" t="s">
        <v>98</v>
      </c>
      <c r="BL686" t="s">
        <v>4054</v>
      </c>
      <c r="BM686" t="s">
        <v>8328</v>
      </c>
      <c r="BN686" t="s">
        <v>74</v>
      </c>
      <c r="BO686" t="s">
        <v>74</v>
      </c>
      <c r="BP686" t="s">
        <v>74</v>
      </c>
      <c r="BQ686" t="s">
        <v>74</v>
      </c>
      <c r="BR686" t="s">
        <v>101</v>
      </c>
      <c r="BS686" t="s">
        <v>8329</v>
      </c>
      <c r="BT686" t="str">
        <f>HYPERLINK("https%3A%2F%2Fwww.webofscience.com%2Fwos%2Fwoscc%2Ffull-record%2FWOS:A1997YF64400011","View Full Record in Web of Science")</f>
        <v>View Full Record in Web of Science</v>
      </c>
    </row>
    <row r="687" spans="1:72" x14ac:dyDescent="0.15">
      <c r="A687" t="s">
        <v>72</v>
      </c>
      <c r="B687" t="s">
        <v>8330</v>
      </c>
      <c r="C687" t="s">
        <v>74</v>
      </c>
      <c r="D687" t="s">
        <v>74</v>
      </c>
      <c r="E687" t="s">
        <v>74</v>
      </c>
      <c r="F687" t="s">
        <v>8330</v>
      </c>
      <c r="G687" t="s">
        <v>74</v>
      </c>
      <c r="H687" t="s">
        <v>74</v>
      </c>
      <c r="I687" t="s">
        <v>8331</v>
      </c>
      <c r="J687" t="s">
        <v>8332</v>
      </c>
      <c r="K687" t="s">
        <v>74</v>
      </c>
      <c r="L687" t="s">
        <v>74</v>
      </c>
      <c r="M687" t="s">
        <v>77</v>
      </c>
      <c r="N687" t="s">
        <v>78</v>
      </c>
      <c r="O687" t="s">
        <v>74</v>
      </c>
      <c r="P687" t="s">
        <v>74</v>
      </c>
      <c r="Q687" t="s">
        <v>74</v>
      </c>
      <c r="R687" t="s">
        <v>74</v>
      </c>
      <c r="S687" t="s">
        <v>74</v>
      </c>
      <c r="T687" t="s">
        <v>8333</v>
      </c>
      <c r="U687" t="s">
        <v>8334</v>
      </c>
      <c r="V687" t="s">
        <v>8335</v>
      </c>
      <c r="W687" t="s">
        <v>74</v>
      </c>
      <c r="X687" t="s">
        <v>74</v>
      </c>
      <c r="Y687" t="s">
        <v>8336</v>
      </c>
      <c r="Z687" t="s">
        <v>74</v>
      </c>
      <c r="AA687" t="s">
        <v>74</v>
      </c>
      <c r="AB687" t="s">
        <v>74</v>
      </c>
      <c r="AC687" t="s">
        <v>8337</v>
      </c>
      <c r="AD687" t="s">
        <v>588</v>
      </c>
      <c r="AE687" t="s">
        <v>74</v>
      </c>
      <c r="AF687" t="s">
        <v>74</v>
      </c>
      <c r="AG687">
        <v>61</v>
      </c>
      <c r="AH687">
        <v>22</v>
      </c>
      <c r="AI687">
        <v>27</v>
      </c>
      <c r="AJ687">
        <v>0</v>
      </c>
      <c r="AK687">
        <v>12</v>
      </c>
      <c r="AL687" t="s">
        <v>451</v>
      </c>
      <c r="AM687" t="s">
        <v>214</v>
      </c>
      <c r="AN687" t="s">
        <v>7151</v>
      </c>
      <c r="AO687" t="s">
        <v>8338</v>
      </c>
      <c r="AP687" t="s">
        <v>74</v>
      </c>
      <c r="AQ687" t="s">
        <v>74</v>
      </c>
      <c r="AR687" t="s">
        <v>4051</v>
      </c>
      <c r="AS687" t="s">
        <v>8339</v>
      </c>
      <c r="AT687" t="s">
        <v>8263</v>
      </c>
      <c r="AU687">
        <v>1997</v>
      </c>
      <c r="AV687">
        <v>118</v>
      </c>
      <c r="AW687">
        <v>3</v>
      </c>
      <c r="AX687" t="s">
        <v>74</v>
      </c>
      <c r="AY687" t="s">
        <v>74</v>
      </c>
      <c r="AZ687" t="s">
        <v>74</v>
      </c>
      <c r="BA687" t="s">
        <v>74</v>
      </c>
      <c r="BB687">
        <v>501</v>
      </c>
      <c r="BC687">
        <v>513</v>
      </c>
      <c r="BD687" t="s">
        <v>74</v>
      </c>
      <c r="BE687" t="s">
        <v>8340</v>
      </c>
      <c r="BF687" t="str">
        <f>HYPERLINK("http://dx.doi.org/10.1016/S0300-9629(97)00012-1","http://dx.doi.org/10.1016/S0300-9629(97)00012-1")</f>
        <v>http://dx.doi.org/10.1016/S0300-9629(97)00012-1</v>
      </c>
      <c r="BG687" t="s">
        <v>74</v>
      </c>
      <c r="BH687" t="s">
        <v>74</v>
      </c>
      <c r="BI687">
        <v>13</v>
      </c>
      <c r="BJ687" t="s">
        <v>4054</v>
      </c>
      <c r="BK687" t="s">
        <v>98</v>
      </c>
      <c r="BL687" t="s">
        <v>4054</v>
      </c>
      <c r="BM687" t="s">
        <v>8328</v>
      </c>
      <c r="BN687">
        <v>9406432</v>
      </c>
      <c r="BO687" t="s">
        <v>74</v>
      </c>
      <c r="BP687" t="s">
        <v>74</v>
      </c>
      <c r="BQ687" t="s">
        <v>74</v>
      </c>
      <c r="BR687" t="s">
        <v>101</v>
      </c>
      <c r="BS687" t="s">
        <v>8341</v>
      </c>
      <c r="BT687" t="str">
        <f>HYPERLINK("https%3A%2F%2Fwww.webofscience.com%2Fwos%2Fwoscc%2Ffull-record%2FWOS:A1997YF64400012","View Full Record in Web of Science")</f>
        <v>View Full Record in Web of Science</v>
      </c>
    </row>
    <row r="688" spans="1:72" x14ac:dyDescent="0.15">
      <c r="A688" t="s">
        <v>72</v>
      </c>
      <c r="B688" t="s">
        <v>8342</v>
      </c>
      <c r="C688" t="s">
        <v>74</v>
      </c>
      <c r="D688" t="s">
        <v>74</v>
      </c>
      <c r="E688" t="s">
        <v>74</v>
      </c>
      <c r="F688" t="s">
        <v>8342</v>
      </c>
      <c r="G688" t="s">
        <v>74</v>
      </c>
      <c r="H688" t="s">
        <v>74</v>
      </c>
      <c r="I688" t="s">
        <v>8343</v>
      </c>
      <c r="J688" t="s">
        <v>1436</v>
      </c>
      <c r="K688" t="s">
        <v>74</v>
      </c>
      <c r="L688" t="s">
        <v>74</v>
      </c>
      <c r="M688" t="s">
        <v>77</v>
      </c>
      <c r="N688" t="s">
        <v>78</v>
      </c>
      <c r="O688" t="s">
        <v>74</v>
      </c>
      <c r="P688" t="s">
        <v>74</v>
      </c>
      <c r="Q688" t="s">
        <v>74</v>
      </c>
      <c r="R688" t="s">
        <v>74</v>
      </c>
      <c r="S688" t="s">
        <v>74</v>
      </c>
      <c r="T688" t="s">
        <v>8344</v>
      </c>
      <c r="U688" t="s">
        <v>8345</v>
      </c>
      <c r="V688" t="s">
        <v>8346</v>
      </c>
      <c r="W688" t="s">
        <v>8347</v>
      </c>
      <c r="X688" t="s">
        <v>8348</v>
      </c>
      <c r="Y688" t="s">
        <v>8349</v>
      </c>
      <c r="Z688" t="s">
        <v>74</v>
      </c>
      <c r="AA688" t="s">
        <v>74</v>
      </c>
      <c r="AB688" t="s">
        <v>8350</v>
      </c>
      <c r="AC688" t="s">
        <v>74</v>
      </c>
      <c r="AD688" t="s">
        <v>74</v>
      </c>
      <c r="AE688" t="s">
        <v>74</v>
      </c>
      <c r="AF688" t="s">
        <v>74</v>
      </c>
      <c r="AG688">
        <v>19</v>
      </c>
      <c r="AH688">
        <v>18</v>
      </c>
      <c r="AI688">
        <v>19</v>
      </c>
      <c r="AJ688">
        <v>0</v>
      </c>
      <c r="AK688">
        <v>8</v>
      </c>
      <c r="AL688" t="s">
        <v>8351</v>
      </c>
      <c r="AM688" t="s">
        <v>8352</v>
      </c>
      <c r="AN688" t="s">
        <v>8353</v>
      </c>
      <c r="AO688" t="s">
        <v>1444</v>
      </c>
      <c r="AP688" t="s">
        <v>8354</v>
      </c>
      <c r="AQ688" t="s">
        <v>74</v>
      </c>
      <c r="AR688" t="s">
        <v>1436</v>
      </c>
      <c r="AS688" t="s">
        <v>1445</v>
      </c>
      <c r="AT688" t="s">
        <v>8263</v>
      </c>
      <c r="AU688">
        <v>1997</v>
      </c>
      <c r="AV688">
        <v>99</v>
      </c>
      <c r="AW688">
        <v>4</v>
      </c>
      <c r="AX688" t="s">
        <v>74</v>
      </c>
      <c r="AY688" t="s">
        <v>74</v>
      </c>
      <c r="AZ688" t="s">
        <v>74</v>
      </c>
      <c r="BA688" t="s">
        <v>74</v>
      </c>
      <c r="BB688">
        <v>994</v>
      </c>
      <c r="BC688">
        <v>997</v>
      </c>
      <c r="BD688" t="s">
        <v>74</v>
      </c>
      <c r="BE688" t="s">
        <v>8355</v>
      </c>
      <c r="BF688" t="str">
        <f>HYPERLINK("http://dx.doi.org/10.2307/1370154","http://dx.doi.org/10.2307/1370154")</f>
        <v>http://dx.doi.org/10.2307/1370154</v>
      </c>
      <c r="BG688" t="s">
        <v>74</v>
      </c>
      <c r="BH688" t="s">
        <v>74</v>
      </c>
      <c r="BI688">
        <v>4</v>
      </c>
      <c r="BJ688" t="s">
        <v>439</v>
      </c>
      <c r="BK688" t="s">
        <v>98</v>
      </c>
      <c r="BL688" t="s">
        <v>417</v>
      </c>
      <c r="BM688" t="s">
        <v>8356</v>
      </c>
      <c r="BN688" t="s">
        <v>74</v>
      </c>
      <c r="BO688" t="s">
        <v>1699</v>
      </c>
      <c r="BP688" t="s">
        <v>74</v>
      </c>
      <c r="BQ688" t="s">
        <v>74</v>
      </c>
      <c r="BR688" t="s">
        <v>101</v>
      </c>
      <c r="BS688" t="s">
        <v>8357</v>
      </c>
      <c r="BT688" t="str">
        <f>HYPERLINK("https%3A%2F%2Fwww.webofscience.com%2Fwos%2Fwoscc%2Ffull-record%2FWOS:A1997YF64100021","View Full Record in Web of Science")</f>
        <v>View Full Record in Web of Science</v>
      </c>
    </row>
    <row r="689" spans="1:72" x14ac:dyDescent="0.15">
      <c r="A689" t="s">
        <v>72</v>
      </c>
      <c r="B689" t="s">
        <v>8358</v>
      </c>
      <c r="C689" t="s">
        <v>74</v>
      </c>
      <c r="D689" t="s">
        <v>74</v>
      </c>
      <c r="E689" t="s">
        <v>74</v>
      </c>
      <c r="F689" t="s">
        <v>8358</v>
      </c>
      <c r="G689" t="s">
        <v>74</v>
      </c>
      <c r="H689" t="s">
        <v>74</v>
      </c>
      <c r="I689" t="s">
        <v>8359</v>
      </c>
      <c r="J689" t="s">
        <v>8360</v>
      </c>
      <c r="K689" t="s">
        <v>74</v>
      </c>
      <c r="L689" t="s">
        <v>74</v>
      </c>
      <c r="M689" t="s">
        <v>77</v>
      </c>
      <c r="N689" t="s">
        <v>78</v>
      </c>
      <c r="O689" t="s">
        <v>74</v>
      </c>
      <c r="P689" t="s">
        <v>74</v>
      </c>
      <c r="Q689" t="s">
        <v>74</v>
      </c>
      <c r="R689" t="s">
        <v>74</v>
      </c>
      <c r="S689" t="s">
        <v>74</v>
      </c>
      <c r="T689" t="s">
        <v>8361</v>
      </c>
      <c r="U689" t="s">
        <v>8362</v>
      </c>
      <c r="V689" t="s">
        <v>8363</v>
      </c>
      <c r="W689" t="s">
        <v>871</v>
      </c>
      <c r="X689" t="s">
        <v>872</v>
      </c>
      <c r="Y689" t="s">
        <v>8364</v>
      </c>
      <c r="Z689" t="s">
        <v>74</v>
      </c>
      <c r="AA689" t="s">
        <v>875</v>
      </c>
      <c r="AB689" t="s">
        <v>8365</v>
      </c>
      <c r="AC689" t="s">
        <v>74</v>
      </c>
      <c r="AD689" t="s">
        <v>74</v>
      </c>
      <c r="AE689" t="s">
        <v>74</v>
      </c>
      <c r="AF689" t="s">
        <v>74</v>
      </c>
      <c r="AG689">
        <v>17</v>
      </c>
      <c r="AH689">
        <v>20</v>
      </c>
      <c r="AI689">
        <v>20</v>
      </c>
      <c r="AJ689">
        <v>0</v>
      </c>
      <c r="AK689">
        <v>3</v>
      </c>
      <c r="AL689" t="s">
        <v>8366</v>
      </c>
      <c r="AM689" t="s">
        <v>115</v>
      </c>
      <c r="AN689" t="s">
        <v>8367</v>
      </c>
      <c r="AO689" t="s">
        <v>8368</v>
      </c>
      <c r="AP689" t="s">
        <v>74</v>
      </c>
      <c r="AQ689" t="s">
        <v>74</v>
      </c>
      <c r="AR689" t="s">
        <v>8369</v>
      </c>
      <c r="AS689" t="s">
        <v>8370</v>
      </c>
      <c r="AT689" t="s">
        <v>8371</v>
      </c>
      <c r="AU689">
        <v>1997</v>
      </c>
      <c r="AV689">
        <v>18</v>
      </c>
      <c r="AW689">
        <v>6</v>
      </c>
      <c r="AX689" t="s">
        <v>74</v>
      </c>
      <c r="AY689" t="s">
        <v>74</v>
      </c>
      <c r="AZ689" t="s">
        <v>74</v>
      </c>
      <c r="BA689" t="s">
        <v>74</v>
      </c>
      <c r="BB689">
        <v>327</v>
      </c>
      <c r="BC689">
        <v>334</v>
      </c>
      <c r="BD689" t="s">
        <v>74</v>
      </c>
      <c r="BE689" t="s">
        <v>74</v>
      </c>
      <c r="BF689" t="s">
        <v>74</v>
      </c>
      <c r="BG689" t="s">
        <v>74</v>
      </c>
      <c r="BH689" t="s">
        <v>74</v>
      </c>
      <c r="BI689">
        <v>8</v>
      </c>
      <c r="BJ689" t="s">
        <v>7419</v>
      </c>
      <c r="BK689" t="s">
        <v>98</v>
      </c>
      <c r="BL689" t="s">
        <v>7420</v>
      </c>
      <c r="BM689" t="s">
        <v>8372</v>
      </c>
      <c r="BN689" t="s">
        <v>74</v>
      </c>
      <c r="BO689" t="s">
        <v>74</v>
      </c>
      <c r="BP689" t="s">
        <v>74</v>
      </c>
      <c r="BQ689" t="s">
        <v>74</v>
      </c>
      <c r="BR689" t="s">
        <v>101</v>
      </c>
      <c r="BS689" t="s">
        <v>8373</v>
      </c>
      <c r="BT689" t="str">
        <f>HYPERLINK("https%3A%2F%2Fwww.webofscience.com%2Fwos%2Fwoscc%2Ffull-record%2FWOS:000072265500002","View Full Record in Web of Science")</f>
        <v>View Full Record in Web of Science</v>
      </c>
    </row>
    <row r="690" spans="1:72" x14ac:dyDescent="0.15">
      <c r="A690" t="s">
        <v>72</v>
      </c>
      <c r="B690" t="s">
        <v>8374</v>
      </c>
      <c r="C690" t="s">
        <v>74</v>
      </c>
      <c r="D690" t="s">
        <v>74</v>
      </c>
      <c r="E690" t="s">
        <v>74</v>
      </c>
      <c r="F690" t="s">
        <v>8374</v>
      </c>
      <c r="G690" t="s">
        <v>74</v>
      </c>
      <c r="H690" t="s">
        <v>74</v>
      </c>
      <c r="I690" t="s">
        <v>8375</v>
      </c>
      <c r="J690" t="s">
        <v>8360</v>
      </c>
      <c r="K690" t="s">
        <v>74</v>
      </c>
      <c r="L690" t="s">
        <v>74</v>
      </c>
      <c r="M690" t="s">
        <v>77</v>
      </c>
      <c r="N690" t="s">
        <v>78</v>
      </c>
      <c r="O690" t="s">
        <v>74</v>
      </c>
      <c r="P690" t="s">
        <v>74</v>
      </c>
      <c r="Q690" t="s">
        <v>74</v>
      </c>
      <c r="R690" t="s">
        <v>74</v>
      </c>
      <c r="S690" t="s">
        <v>74</v>
      </c>
      <c r="T690" t="s">
        <v>8376</v>
      </c>
      <c r="U690" t="s">
        <v>8377</v>
      </c>
      <c r="V690" t="s">
        <v>8378</v>
      </c>
      <c r="W690" t="s">
        <v>8379</v>
      </c>
      <c r="X690" t="s">
        <v>322</v>
      </c>
      <c r="Y690" t="s">
        <v>7412</v>
      </c>
      <c r="Z690" t="s">
        <v>74</v>
      </c>
      <c r="AA690" t="s">
        <v>74</v>
      </c>
      <c r="AB690" t="s">
        <v>74</v>
      </c>
      <c r="AC690" t="s">
        <v>74</v>
      </c>
      <c r="AD690" t="s">
        <v>74</v>
      </c>
      <c r="AE690" t="s">
        <v>74</v>
      </c>
      <c r="AF690" t="s">
        <v>74</v>
      </c>
      <c r="AG690">
        <v>12</v>
      </c>
      <c r="AH690">
        <v>1</v>
      </c>
      <c r="AI690">
        <v>1</v>
      </c>
      <c r="AJ690">
        <v>0</v>
      </c>
      <c r="AK690">
        <v>4</v>
      </c>
      <c r="AL690" t="s">
        <v>8366</v>
      </c>
      <c r="AM690" t="s">
        <v>115</v>
      </c>
      <c r="AN690" t="s">
        <v>8367</v>
      </c>
      <c r="AO690" t="s">
        <v>8368</v>
      </c>
      <c r="AP690" t="s">
        <v>74</v>
      </c>
      <c r="AQ690" t="s">
        <v>74</v>
      </c>
      <c r="AR690" t="s">
        <v>8369</v>
      </c>
      <c r="AS690" t="s">
        <v>8370</v>
      </c>
      <c r="AT690" t="s">
        <v>8371</v>
      </c>
      <c r="AU690">
        <v>1997</v>
      </c>
      <c r="AV690">
        <v>18</v>
      </c>
      <c r="AW690">
        <v>6</v>
      </c>
      <c r="AX690" t="s">
        <v>74</v>
      </c>
      <c r="AY690" t="s">
        <v>74</v>
      </c>
      <c r="AZ690" t="s">
        <v>74</v>
      </c>
      <c r="BA690" t="s">
        <v>74</v>
      </c>
      <c r="BB690">
        <v>369</v>
      </c>
      <c r="BC690">
        <v>374</v>
      </c>
      <c r="BD690" t="s">
        <v>74</v>
      </c>
      <c r="BE690" t="s">
        <v>74</v>
      </c>
      <c r="BF690" t="s">
        <v>74</v>
      </c>
      <c r="BG690" t="s">
        <v>74</v>
      </c>
      <c r="BH690" t="s">
        <v>74</v>
      </c>
      <c r="BI690">
        <v>6</v>
      </c>
      <c r="BJ690" t="s">
        <v>7419</v>
      </c>
      <c r="BK690" t="s">
        <v>98</v>
      </c>
      <c r="BL690" t="s">
        <v>7420</v>
      </c>
      <c r="BM690" t="s">
        <v>8372</v>
      </c>
      <c r="BN690" t="s">
        <v>74</v>
      </c>
      <c r="BO690" t="s">
        <v>74</v>
      </c>
      <c r="BP690" t="s">
        <v>74</v>
      </c>
      <c r="BQ690" t="s">
        <v>74</v>
      </c>
      <c r="BR690" t="s">
        <v>101</v>
      </c>
      <c r="BS690" t="s">
        <v>8380</v>
      </c>
      <c r="BT690" t="str">
        <f>HYPERLINK("https%3A%2F%2Fwww.webofscience.com%2Fwos%2Fwoscc%2Ffull-record%2FWOS:000072265500007","View Full Record in Web of Science")</f>
        <v>View Full Record in Web of Science</v>
      </c>
    </row>
    <row r="691" spans="1:72" x14ac:dyDescent="0.15">
      <c r="A691" t="s">
        <v>72</v>
      </c>
      <c r="B691" t="s">
        <v>8381</v>
      </c>
      <c r="C691" t="s">
        <v>74</v>
      </c>
      <c r="D691" t="s">
        <v>74</v>
      </c>
      <c r="E691" t="s">
        <v>74</v>
      </c>
      <c r="F691" t="s">
        <v>8381</v>
      </c>
      <c r="G691" t="s">
        <v>74</v>
      </c>
      <c r="H691" t="s">
        <v>74</v>
      </c>
      <c r="I691" t="s">
        <v>8382</v>
      </c>
      <c r="J691" t="s">
        <v>1494</v>
      </c>
      <c r="K691" t="s">
        <v>74</v>
      </c>
      <c r="L691" t="s">
        <v>74</v>
      </c>
      <c r="M691" t="s">
        <v>77</v>
      </c>
      <c r="N691" t="s">
        <v>494</v>
      </c>
      <c r="O691" t="s">
        <v>74</v>
      </c>
      <c r="P691" t="s">
        <v>74</v>
      </c>
      <c r="Q691" t="s">
        <v>74</v>
      </c>
      <c r="R691" t="s">
        <v>74</v>
      </c>
      <c r="S691" t="s">
        <v>74</v>
      </c>
      <c r="T691" t="s">
        <v>74</v>
      </c>
      <c r="U691" t="s">
        <v>8383</v>
      </c>
      <c r="V691" t="s">
        <v>8384</v>
      </c>
      <c r="W691" t="s">
        <v>8385</v>
      </c>
      <c r="X691" t="s">
        <v>8386</v>
      </c>
      <c r="Y691" t="s">
        <v>8387</v>
      </c>
      <c r="Z691" t="s">
        <v>74</v>
      </c>
      <c r="AA691" t="s">
        <v>74</v>
      </c>
      <c r="AB691" t="s">
        <v>74</v>
      </c>
      <c r="AC691" t="s">
        <v>74</v>
      </c>
      <c r="AD691" t="s">
        <v>74</v>
      </c>
      <c r="AE691" t="s">
        <v>74</v>
      </c>
      <c r="AF691" t="s">
        <v>74</v>
      </c>
      <c r="AG691">
        <v>103</v>
      </c>
      <c r="AH691">
        <v>24</v>
      </c>
      <c r="AI691">
        <v>25</v>
      </c>
      <c r="AJ691">
        <v>1</v>
      </c>
      <c r="AK691">
        <v>13</v>
      </c>
      <c r="AL691" t="s">
        <v>451</v>
      </c>
      <c r="AM691" t="s">
        <v>214</v>
      </c>
      <c r="AN691" t="s">
        <v>452</v>
      </c>
      <c r="AO691" t="s">
        <v>1503</v>
      </c>
      <c r="AP691" t="s">
        <v>74</v>
      </c>
      <c r="AQ691" t="s">
        <v>74</v>
      </c>
      <c r="AR691" t="s">
        <v>1505</v>
      </c>
      <c r="AS691" t="s">
        <v>1506</v>
      </c>
      <c r="AT691" t="s">
        <v>8263</v>
      </c>
      <c r="AU691">
        <v>1997</v>
      </c>
      <c r="AV691">
        <v>44</v>
      </c>
      <c r="AW691">
        <v>11</v>
      </c>
      <c r="AX691" t="s">
        <v>74</v>
      </c>
      <c r="AY691" t="s">
        <v>74</v>
      </c>
      <c r="AZ691" t="s">
        <v>74</v>
      </c>
      <c r="BA691" t="s">
        <v>74</v>
      </c>
      <c r="BB691">
        <v>1841</v>
      </c>
      <c r="BC691" t="s">
        <v>4124</v>
      </c>
      <c r="BD691" t="s">
        <v>74</v>
      </c>
      <c r="BE691" t="s">
        <v>8388</v>
      </c>
      <c r="BF691" t="str">
        <f>HYPERLINK("http://dx.doi.org/10.1016/S0967-0637(97)00064-2","http://dx.doi.org/10.1016/S0967-0637(97)00064-2")</f>
        <v>http://dx.doi.org/10.1016/S0967-0637(97)00064-2</v>
      </c>
      <c r="BG691" t="s">
        <v>74</v>
      </c>
      <c r="BH691" t="s">
        <v>74</v>
      </c>
      <c r="BI691">
        <v>34</v>
      </c>
      <c r="BJ691" t="s">
        <v>97</v>
      </c>
      <c r="BK691" t="s">
        <v>98</v>
      </c>
      <c r="BL691" t="s">
        <v>97</v>
      </c>
      <c r="BM691" t="s">
        <v>8389</v>
      </c>
      <c r="BN691" t="s">
        <v>74</v>
      </c>
      <c r="BO691" t="s">
        <v>74</v>
      </c>
      <c r="BP691" t="s">
        <v>74</v>
      </c>
      <c r="BQ691" t="s">
        <v>74</v>
      </c>
      <c r="BR691" t="s">
        <v>101</v>
      </c>
      <c r="BS691" t="s">
        <v>8390</v>
      </c>
      <c r="BT691" t="str">
        <f>HYPERLINK("https%3A%2F%2Fwww.webofscience.com%2Fwos%2Fwoscc%2Ffull-record%2FWOS:000072322200005","View Full Record in Web of Science")</f>
        <v>View Full Record in Web of Science</v>
      </c>
    </row>
    <row r="692" spans="1:72" x14ac:dyDescent="0.15">
      <c r="A692" t="s">
        <v>72</v>
      </c>
      <c r="B692" t="s">
        <v>8391</v>
      </c>
      <c r="C692" t="s">
        <v>74</v>
      </c>
      <c r="D692" t="s">
        <v>74</v>
      </c>
      <c r="E692" t="s">
        <v>74</v>
      </c>
      <c r="F692" t="s">
        <v>8391</v>
      </c>
      <c r="G692" t="s">
        <v>74</v>
      </c>
      <c r="H692" t="s">
        <v>74</v>
      </c>
      <c r="I692" t="s">
        <v>8392</v>
      </c>
      <c r="J692" t="s">
        <v>4170</v>
      </c>
      <c r="K692" t="s">
        <v>74</v>
      </c>
      <c r="L692" t="s">
        <v>74</v>
      </c>
      <c r="M692" t="s">
        <v>77</v>
      </c>
      <c r="N692" t="s">
        <v>78</v>
      </c>
      <c r="O692" t="s">
        <v>74</v>
      </c>
      <c r="P692" t="s">
        <v>74</v>
      </c>
      <c r="Q692" t="s">
        <v>74</v>
      </c>
      <c r="R692" t="s">
        <v>74</v>
      </c>
      <c r="S692" t="s">
        <v>74</v>
      </c>
      <c r="T692" t="s">
        <v>8393</v>
      </c>
      <c r="U692" t="s">
        <v>8394</v>
      </c>
      <c r="V692" t="s">
        <v>8395</v>
      </c>
      <c r="W692" t="s">
        <v>8396</v>
      </c>
      <c r="X692" t="s">
        <v>8397</v>
      </c>
      <c r="Y692" t="s">
        <v>8398</v>
      </c>
      <c r="Z692" t="s">
        <v>74</v>
      </c>
      <c r="AA692" t="s">
        <v>8399</v>
      </c>
      <c r="AB692" t="s">
        <v>8400</v>
      </c>
      <c r="AC692" t="s">
        <v>74</v>
      </c>
      <c r="AD692" t="s">
        <v>74</v>
      </c>
      <c r="AE692" t="s">
        <v>74</v>
      </c>
      <c r="AF692" t="s">
        <v>74</v>
      </c>
      <c r="AG692">
        <v>24</v>
      </c>
      <c r="AH692">
        <v>11</v>
      </c>
      <c r="AI692">
        <v>12</v>
      </c>
      <c r="AJ692">
        <v>1</v>
      </c>
      <c r="AK692">
        <v>4</v>
      </c>
      <c r="AL692" t="s">
        <v>1029</v>
      </c>
      <c r="AM692" t="s">
        <v>1030</v>
      </c>
      <c r="AN692" t="s">
        <v>1031</v>
      </c>
      <c r="AO692" t="s">
        <v>4180</v>
      </c>
      <c r="AP692" t="s">
        <v>74</v>
      </c>
      <c r="AQ692" t="s">
        <v>74</v>
      </c>
      <c r="AR692" t="s">
        <v>4181</v>
      </c>
      <c r="AS692" t="s">
        <v>4182</v>
      </c>
      <c r="AT692" t="s">
        <v>8263</v>
      </c>
      <c r="AU692">
        <v>1997</v>
      </c>
      <c r="AV692">
        <v>152</v>
      </c>
      <c r="AW692" t="s">
        <v>4183</v>
      </c>
      <c r="AX692" t="s">
        <v>74</v>
      </c>
      <c r="AY692" t="s">
        <v>74</v>
      </c>
      <c r="AZ692" t="s">
        <v>74</v>
      </c>
      <c r="BA692" t="s">
        <v>74</v>
      </c>
      <c r="BB692">
        <v>267</v>
      </c>
      <c r="BC692">
        <v>274</v>
      </c>
      <c r="BD692" t="s">
        <v>74</v>
      </c>
      <c r="BE692" t="s">
        <v>8401</v>
      </c>
      <c r="BF692" t="str">
        <f>HYPERLINK("http://dx.doi.org/10.1016/S0012-821X(97)00139-8","http://dx.doi.org/10.1016/S0012-821X(97)00139-8")</f>
        <v>http://dx.doi.org/10.1016/S0012-821X(97)00139-8</v>
      </c>
      <c r="BG692" t="s">
        <v>74</v>
      </c>
      <c r="BH692" t="s">
        <v>74</v>
      </c>
      <c r="BI692">
        <v>8</v>
      </c>
      <c r="BJ692" t="s">
        <v>143</v>
      </c>
      <c r="BK692" t="s">
        <v>98</v>
      </c>
      <c r="BL692" t="s">
        <v>143</v>
      </c>
      <c r="BM692" t="s">
        <v>8402</v>
      </c>
      <c r="BN692" t="s">
        <v>74</v>
      </c>
      <c r="BO692" t="s">
        <v>74</v>
      </c>
      <c r="BP692" t="s">
        <v>74</v>
      </c>
      <c r="BQ692" t="s">
        <v>74</v>
      </c>
      <c r="BR692" t="s">
        <v>101</v>
      </c>
      <c r="BS692" t="s">
        <v>8403</v>
      </c>
      <c r="BT692" t="str">
        <f>HYPERLINK("https%3A%2F%2Fwww.webofscience.com%2Fwos%2Fwoscc%2Ffull-record%2FWOS:000071223900020","View Full Record in Web of Science")</f>
        <v>View Full Record in Web of Science</v>
      </c>
    </row>
    <row r="693" spans="1:72" x14ac:dyDescent="0.15">
      <c r="A693" t="s">
        <v>72</v>
      </c>
      <c r="B693" t="s">
        <v>8404</v>
      </c>
      <c r="C693" t="s">
        <v>74</v>
      </c>
      <c r="D693" t="s">
        <v>74</v>
      </c>
      <c r="E693" t="s">
        <v>74</v>
      </c>
      <c r="F693" t="s">
        <v>8404</v>
      </c>
      <c r="G693" t="s">
        <v>74</v>
      </c>
      <c r="H693" t="s">
        <v>74</v>
      </c>
      <c r="I693" t="s">
        <v>8405</v>
      </c>
      <c r="J693" t="s">
        <v>8406</v>
      </c>
      <c r="K693" t="s">
        <v>74</v>
      </c>
      <c r="L693" t="s">
        <v>74</v>
      </c>
      <c r="M693" t="s">
        <v>77</v>
      </c>
      <c r="N693" t="s">
        <v>78</v>
      </c>
      <c r="O693" t="s">
        <v>74</v>
      </c>
      <c r="P693" t="s">
        <v>74</v>
      </c>
      <c r="Q693" t="s">
        <v>74</v>
      </c>
      <c r="R693" t="s">
        <v>74</v>
      </c>
      <c r="S693" t="s">
        <v>74</v>
      </c>
      <c r="T693" t="s">
        <v>8407</v>
      </c>
      <c r="U693" t="s">
        <v>8408</v>
      </c>
      <c r="V693" t="s">
        <v>8409</v>
      </c>
      <c r="W693" t="s">
        <v>8410</v>
      </c>
      <c r="X693" t="s">
        <v>8411</v>
      </c>
      <c r="Y693" t="s">
        <v>8412</v>
      </c>
      <c r="Z693" t="s">
        <v>1769</v>
      </c>
      <c r="AA693" t="s">
        <v>8413</v>
      </c>
      <c r="AB693" t="s">
        <v>8414</v>
      </c>
      <c r="AC693" t="s">
        <v>74</v>
      </c>
      <c r="AD693" t="s">
        <v>74</v>
      </c>
      <c r="AE693" t="s">
        <v>74</v>
      </c>
      <c r="AF693" t="s">
        <v>74</v>
      </c>
      <c r="AG693">
        <v>43</v>
      </c>
      <c r="AH693">
        <v>125</v>
      </c>
      <c r="AI693">
        <v>138</v>
      </c>
      <c r="AJ693">
        <v>1</v>
      </c>
      <c r="AK693">
        <v>25</v>
      </c>
      <c r="AL693" t="s">
        <v>2664</v>
      </c>
      <c r="AM693" t="s">
        <v>2665</v>
      </c>
      <c r="AN693" t="s">
        <v>2666</v>
      </c>
      <c r="AO693" t="s">
        <v>8415</v>
      </c>
      <c r="AP693" t="s">
        <v>8416</v>
      </c>
      <c r="AQ693" t="s">
        <v>74</v>
      </c>
      <c r="AR693" t="s">
        <v>8417</v>
      </c>
      <c r="AS693" t="s">
        <v>8418</v>
      </c>
      <c r="AT693" t="s">
        <v>8263</v>
      </c>
      <c r="AU693">
        <v>1997</v>
      </c>
      <c r="AV693">
        <v>32</v>
      </c>
      <c r="AW693">
        <v>4</v>
      </c>
      <c r="AX693" t="s">
        <v>74</v>
      </c>
      <c r="AY693" t="s">
        <v>74</v>
      </c>
      <c r="AZ693" t="s">
        <v>74</v>
      </c>
      <c r="BA693" t="s">
        <v>74</v>
      </c>
      <c r="BB693">
        <v>335</v>
      </c>
      <c r="BC693">
        <v>342</v>
      </c>
      <c r="BD693" t="s">
        <v>74</v>
      </c>
      <c r="BE693" t="s">
        <v>8419</v>
      </c>
      <c r="BF693" t="str">
        <f>HYPERLINK("http://dx.doi.org/10.1017/S0967026297001431","http://dx.doi.org/10.1017/S0967026297001431")</f>
        <v>http://dx.doi.org/10.1017/S0967026297001431</v>
      </c>
      <c r="BG693" t="s">
        <v>74</v>
      </c>
      <c r="BH693" t="s">
        <v>74</v>
      </c>
      <c r="BI693">
        <v>8</v>
      </c>
      <c r="BJ693" t="s">
        <v>1299</v>
      </c>
      <c r="BK693" t="s">
        <v>98</v>
      </c>
      <c r="BL693" t="s">
        <v>1299</v>
      </c>
      <c r="BM693" t="s">
        <v>8420</v>
      </c>
      <c r="BN693" t="s">
        <v>74</v>
      </c>
      <c r="BO693" t="s">
        <v>74</v>
      </c>
      <c r="BP693" t="s">
        <v>74</v>
      </c>
      <c r="BQ693" t="s">
        <v>74</v>
      </c>
      <c r="BR693" t="s">
        <v>101</v>
      </c>
      <c r="BS693" t="s">
        <v>8421</v>
      </c>
      <c r="BT693" t="str">
        <f>HYPERLINK("https%3A%2F%2Fwww.webofscience.com%2Fwos%2Fwoscc%2Ffull-record%2FWOS:000071195200002","View Full Record in Web of Science")</f>
        <v>View Full Record in Web of Science</v>
      </c>
    </row>
    <row r="694" spans="1:72" x14ac:dyDescent="0.15">
      <c r="A694" t="s">
        <v>72</v>
      </c>
      <c r="B694" t="s">
        <v>8422</v>
      </c>
      <c r="C694" t="s">
        <v>74</v>
      </c>
      <c r="D694" t="s">
        <v>74</v>
      </c>
      <c r="E694" t="s">
        <v>74</v>
      </c>
      <c r="F694" t="s">
        <v>8422</v>
      </c>
      <c r="G694" t="s">
        <v>74</v>
      </c>
      <c r="H694" t="s">
        <v>74</v>
      </c>
      <c r="I694" t="s">
        <v>8423</v>
      </c>
      <c r="J694" t="s">
        <v>8424</v>
      </c>
      <c r="K694" t="s">
        <v>74</v>
      </c>
      <c r="L694" t="s">
        <v>74</v>
      </c>
      <c r="M694" t="s">
        <v>77</v>
      </c>
      <c r="N694" t="s">
        <v>78</v>
      </c>
      <c r="O694" t="s">
        <v>74</v>
      </c>
      <c r="P694" t="s">
        <v>74</v>
      </c>
      <c r="Q694" t="s">
        <v>74</v>
      </c>
      <c r="R694" t="s">
        <v>74</v>
      </c>
      <c r="S694" t="s">
        <v>74</v>
      </c>
      <c r="T694" t="s">
        <v>74</v>
      </c>
      <c r="U694" t="s">
        <v>8425</v>
      </c>
      <c r="V694" t="s">
        <v>8426</v>
      </c>
      <c r="W694" t="s">
        <v>8427</v>
      </c>
      <c r="X694" t="s">
        <v>8428</v>
      </c>
      <c r="Y694" t="s">
        <v>8429</v>
      </c>
      <c r="Z694" t="s">
        <v>74</v>
      </c>
      <c r="AA694" t="s">
        <v>8430</v>
      </c>
      <c r="AB694" t="s">
        <v>8431</v>
      </c>
      <c r="AC694" t="s">
        <v>74</v>
      </c>
      <c r="AD694" t="s">
        <v>74</v>
      </c>
      <c r="AE694" t="s">
        <v>74</v>
      </c>
      <c r="AF694" t="s">
        <v>74</v>
      </c>
      <c r="AG694">
        <v>65</v>
      </c>
      <c r="AH694">
        <v>41</v>
      </c>
      <c r="AI694">
        <v>44</v>
      </c>
      <c r="AJ694">
        <v>0</v>
      </c>
      <c r="AK694">
        <v>2</v>
      </c>
      <c r="AL694" t="s">
        <v>243</v>
      </c>
      <c r="AM694" t="s">
        <v>244</v>
      </c>
      <c r="AN694" t="s">
        <v>946</v>
      </c>
      <c r="AO694" t="s">
        <v>8432</v>
      </c>
      <c r="AP694" t="s">
        <v>74</v>
      </c>
      <c r="AQ694" t="s">
        <v>74</v>
      </c>
      <c r="AR694" t="s">
        <v>8433</v>
      </c>
      <c r="AS694" t="s">
        <v>8434</v>
      </c>
      <c r="AT694" t="s">
        <v>8263</v>
      </c>
      <c r="AU694">
        <v>1997</v>
      </c>
      <c r="AV694">
        <v>134</v>
      </c>
      <c r="AW694">
        <v>6</v>
      </c>
      <c r="AX694" t="s">
        <v>74</v>
      </c>
      <c r="AY694" t="s">
        <v>74</v>
      </c>
      <c r="AZ694" t="s">
        <v>74</v>
      </c>
      <c r="BA694" t="s">
        <v>74</v>
      </c>
      <c r="BB694">
        <v>745</v>
      </c>
      <c r="BC694">
        <v>762</v>
      </c>
      <c r="BD694" t="s">
        <v>74</v>
      </c>
      <c r="BE694" t="s">
        <v>8435</v>
      </c>
      <c r="BF694" t="str">
        <f>HYPERLINK("http://dx.doi.org/10.1017/S0016756897007796","http://dx.doi.org/10.1017/S0016756897007796")</f>
        <v>http://dx.doi.org/10.1017/S0016756897007796</v>
      </c>
      <c r="BG694" t="s">
        <v>74</v>
      </c>
      <c r="BH694" t="s">
        <v>74</v>
      </c>
      <c r="BI694">
        <v>18</v>
      </c>
      <c r="BJ694" t="s">
        <v>769</v>
      </c>
      <c r="BK694" t="s">
        <v>98</v>
      </c>
      <c r="BL694" t="s">
        <v>471</v>
      </c>
      <c r="BM694" t="s">
        <v>8436</v>
      </c>
      <c r="BN694" t="s">
        <v>74</v>
      </c>
      <c r="BO694" t="s">
        <v>74</v>
      </c>
      <c r="BP694" t="s">
        <v>74</v>
      </c>
      <c r="BQ694" t="s">
        <v>74</v>
      </c>
      <c r="BR694" t="s">
        <v>101</v>
      </c>
      <c r="BS694" t="s">
        <v>8437</v>
      </c>
      <c r="BT694" t="str">
        <f>HYPERLINK("https%3A%2F%2Fwww.webofscience.com%2Fwos%2Fwoscc%2Ffull-record%2FWOS:000071263300001","View Full Record in Web of Science")</f>
        <v>View Full Record in Web of Science</v>
      </c>
    </row>
    <row r="695" spans="1:72" x14ac:dyDescent="0.15">
      <c r="A695" t="s">
        <v>72</v>
      </c>
      <c r="B695" t="s">
        <v>8438</v>
      </c>
      <c r="C695" t="s">
        <v>74</v>
      </c>
      <c r="D695" t="s">
        <v>74</v>
      </c>
      <c r="E695" t="s">
        <v>74</v>
      </c>
      <c r="F695" t="s">
        <v>8438</v>
      </c>
      <c r="G695" t="s">
        <v>74</v>
      </c>
      <c r="H695" t="s">
        <v>74</v>
      </c>
      <c r="I695" t="s">
        <v>8439</v>
      </c>
      <c r="J695" t="s">
        <v>1581</v>
      </c>
      <c r="K695" t="s">
        <v>74</v>
      </c>
      <c r="L695" t="s">
        <v>74</v>
      </c>
      <c r="M695" t="s">
        <v>77</v>
      </c>
      <c r="N695" t="s">
        <v>78</v>
      </c>
      <c r="O695" t="s">
        <v>74</v>
      </c>
      <c r="P695" t="s">
        <v>74</v>
      </c>
      <c r="Q695" t="s">
        <v>74</v>
      </c>
      <c r="R695" t="s">
        <v>74</v>
      </c>
      <c r="S695" t="s">
        <v>74</v>
      </c>
      <c r="T695" t="s">
        <v>74</v>
      </c>
      <c r="U695" t="s">
        <v>8440</v>
      </c>
      <c r="V695" t="s">
        <v>8441</v>
      </c>
      <c r="W695" t="s">
        <v>74</v>
      </c>
      <c r="X695" t="s">
        <v>74</v>
      </c>
      <c r="Y695" t="s">
        <v>8442</v>
      </c>
      <c r="Z695" t="s">
        <v>74</v>
      </c>
      <c r="AA695" t="s">
        <v>8443</v>
      </c>
      <c r="AB695" t="s">
        <v>74</v>
      </c>
      <c r="AC695" t="s">
        <v>74</v>
      </c>
      <c r="AD695" t="s">
        <v>74</v>
      </c>
      <c r="AE695" t="s">
        <v>74</v>
      </c>
      <c r="AF695" t="s">
        <v>74</v>
      </c>
      <c r="AG695">
        <v>18</v>
      </c>
      <c r="AH695">
        <v>43</v>
      </c>
      <c r="AI695">
        <v>48</v>
      </c>
      <c r="AJ695">
        <v>0</v>
      </c>
      <c r="AK695">
        <v>5</v>
      </c>
      <c r="AL695" t="s">
        <v>87</v>
      </c>
      <c r="AM695" t="s">
        <v>88</v>
      </c>
      <c r="AN695" t="s">
        <v>7533</v>
      </c>
      <c r="AO695" t="s">
        <v>1589</v>
      </c>
      <c r="AP695" t="s">
        <v>74</v>
      </c>
      <c r="AQ695" t="s">
        <v>74</v>
      </c>
      <c r="AR695" t="s">
        <v>1590</v>
      </c>
      <c r="AS695" t="s">
        <v>1591</v>
      </c>
      <c r="AT695" t="s">
        <v>8444</v>
      </c>
      <c r="AU695">
        <v>1997</v>
      </c>
      <c r="AV695">
        <v>24</v>
      </c>
      <c r="AW695">
        <v>21</v>
      </c>
      <c r="AX695" t="s">
        <v>74</v>
      </c>
      <c r="AY695" t="s">
        <v>74</v>
      </c>
      <c r="AZ695" t="s">
        <v>74</v>
      </c>
      <c r="BA695" t="s">
        <v>74</v>
      </c>
      <c r="BB695">
        <v>2585</v>
      </c>
      <c r="BC695">
        <v>2588</v>
      </c>
      <c r="BD695" t="s">
        <v>74</v>
      </c>
      <c r="BE695" t="s">
        <v>8445</v>
      </c>
      <c r="BF695" t="str">
        <f>HYPERLINK("http://dx.doi.org/10.1029/97GL02694","http://dx.doi.org/10.1029/97GL02694")</f>
        <v>http://dx.doi.org/10.1029/97GL02694</v>
      </c>
      <c r="BG695" t="s">
        <v>74</v>
      </c>
      <c r="BH695" t="s">
        <v>74</v>
      </c>
      <c r="BI695">
        <v>4</v>
      </c>
      <c r="BJ695" t="s">
        <v>769</v>
      </c>
      <c r="BK695" t="s">
        <v>98</v>
      </c>
      <c r="BL695" t="s">
        <v>471</v>
      </c>
      <c r="BM695" t="s">
        <v>8446</v>
      </c>
      <c r="BN695" t="s">
        <v>74</v>
      </c>
      <c r="BO695" t="s">
        <v>100</v>
      </c>
      <c r="BP695" t="s">
        <v>74</v>
      </c>
      <c r="BQ695" t="s">
        <v>74</v>
      </c>
      <c r="BR695" t="s">
        <v>101</v>
      </c>
      <c r="BS695" t="s">
        <v>8447</v>
      </c>
      <c r="BT695" t="str">
        <f>HYPERLINK("https%3A%2F%2Fwww.webofscience.com%2Fwos%2Fwoscc%2Ffull-record%2FWOS:A1997YE98500013","View Full Record in Web of Science")</f>
        <v>View Full Record in Web of Science</v>
      </c>
    </row>
    <row r="696" spans="1:72" x14ac:dyDescent="0.15">
      <c r="A696" t="s">
        <v>72</v>
      </c>
      <c r="B696" t="s">
        <v>8448</v>
      </c>
      <c r="C696" t="s">
        <v>74</v>
      </c>
      <c r="D696" t="s">
        <v>74</v>
      </c>
      <c r="E696" t="s">
        <v>74</v>
      </c>
      <c r="F696" t="s">
        <v>8448</v>
      </c>
      <c r="G696" t="s">
        <v>74</v>
      </c>
      <c r="H696" t="s">
        <v>74</v>
      </c>
      <c r="I696" t="s">
        <v>8449</v>
      </c>
      <c r="J696" t="s">
        <v>1581</v>
      </c>
      <c r="K696" t="s">
        <v>74</v>
      </c>
      <c r="L696" t="s">
        <v>74</v>
      </c>
      <c r="M696" t="s">
        <v>77</v>
      </c>
      <c r="N696" t="s">
        <v>78</v>
      </c>
      <c r="O696" t="s">
        <v>74</v>
      </c>
      <c r="P696" t="s">
        <v>74</v>
      </c>
      <c r="Q696" t="s">
        <v>74</v>
      </c>
      <c r="R696" t="s">
        <v>74</v>
      </c>
      <c r="S696" t="s">
        <v>74</v>
      </c>
      <c r="T696" t="s">
        <v>74</v>
      </c>
      <c r="U696" t="s">
        <v>8450</v>
      </c>
      <c r="V696" t="s">
        <v>8451</v>
      </c>
      <c r="W696" t="s">
        <v>74</v>
      </c>
      <c r="X696" t="s">
        <v>74</v>
      </c>
      <c r="Y696" t="s">
        <v>8452</v>
      </c>
      <c r="Z696" t="s">
        <v>74</v>
      </c>
      <c r="AA696" t="s">
        <v>8453</v>
      </c>
      <c r="AB696" t="s">
        <v>8454</v>
      </c>
      <c r="AC696" t="s">
        <v>74</v>
      </c>
      <c r="AD696" t="s">
        <v>74</v>
      </c>
      <c r="AE696" t="s">
        <v>74</v>
      </c>
      <c r="AF696" t="s">
        <v>74</v>
      </c>
      <c r="AG696">
        <v>27</v>
      </c>
      <c r="AH696">
        <v>41</v>
      </c>
      <c r="AI696">
        <v>48</v>
      </c>
      <c r="AJ696">
        <v>1</v>
      </c>
      <c r="AK696">
        <v>6</v>
      </c>
      <c r="AL696" t="s">
        <v>87</v>
      </c>
      <c r="AM696" t="s">
        <v>88</v>
      </c>
      <c r="AN696" t="s">
        <v>89</v>
      </c>
      <c r="AO696" t="s">
        <v>1589</v>
      </c>
      <c r="AP696" t="s">
        <v>8455</v>
      </c>
      <c r="AQ696" t="s">
        <v>74</v>
      </c>
      <c r="AR696" t="s">
        <v>1590</v>
      </c>
      <c r="AS696" t="s">
        <v>1591</v>
      </c>
      <c r="AT696" t="s">
        <v>8444</v>
      </c>
      <c r="AU696">
        <v>1997</v>
      </c>
      <c r="AV696">
        <v>24</v>
      </c>
      <c r="AW696">
        <v>21</v>
      </c>
      <c r="AX696" t="s">
        <v>74</v>
      </c>
      <c r="AY696" t="s">
        <v>74</v>
      </c>
      <c r="AZ696" t="s">
        <v>74</v>
      </c>
      <c r="BA696" t="s">
        <v>74</v>
      </c>
      <c r="BB696">
        <v>2679</v>
      </c>
      <c r="BC696">
        <v>2682</v>
      </c>
      <c r="BD696" t="s">
        <v>74</v>
      </c>
      <c r="BE696" t="s">
        <v>8456</v>
      </c>
      <c r="BF696" t="str">
        <f>HYPERLINK("http://dx.doi.org/10.1029/97GL02734","http://dx.doi.org/10.1029/97GL02734")</f>
        <v>http://dx.doi.org/10.1029/97GL02734</v>
      </c>
      <c r="BG696" t="s">
        <v>74</v>
      </c>
      <c r="BH696" t="s">
        <v>74</v>
      </c>
      <c r="BI696">
        <v>4</v>
      </c>
      <c r="BJ696" t="s">
        <v>769</v>
      </c>
      <c r="BK696" t="s">
        <v>98</v>
      </c>
      <c r="BL696" t="s">
        <v>471</v>
      </c>
      <c r="BM696" t="s">
        <v>8446</v>
      </c>
      <c r="BN696" t="s">
        <v>74</v>
      </c>
      <c r="BO696" t="s">
        <v>74</v>
      </c>
      <c r="BP696" t="s">
        <v>74</v>
      </c>
      <c r="BQ696" t="s">
        <v>74</v>
      </c>
      <c r="BR696" t="s">
        <v>101</v>
      </c>
      <c r="BS696" t="s">
        <v>8457</v>
      </c>
      <c r="BT696" t="str">
        <f>HYPERLINK("https%3A%2F%2Fwww.webofscience.com%2Fwos%2Fwoscc%2Ffull-record%2FWOS:A1997YE98500038","View Full Record in Web of Science")</f>
        <v>View Full Record in Web of Science</v>
      </c>
    </row>
    <row r="697" spans="1:72" x14ac:dyDescent="0.15">
      <c r="A697" t="s">
        <v>72</v>
      </c>
      <c r="B697" t="s">
        <v>8458</v>
      </c>
      <c r="C697" t="s">
        <v>74</v>
      </c>
      <c r="D697" t="s">
        <v>74</v>
      </c>
      <c r="E697" t="s">
        <v>74</v>
      </c>
      <c r="F697" t="s">
        <v>8458</v>
      </c>
      <c r="G697" t="s">
        <v>74</v>
      </c>
      <c r="H697" t="s">
        <v>74</v>
      </c>
      <c r="I697" t="s">
        <v>8459</v>
      </c>
      <c r="J697" t="s">
        <v>1581</v>
      </c>
      <c r="K697" t="s">
        <v>74</v>
      </c>
      <c r="L697" t="s">
        <v>74</v>
      </c>
      <c r="M697" t="s">
        <v>77</v>
      </c>
      <c r="N697" t="s">
        <v>78</v>
      </c>
      <c r="O697" t="s">
        <v>74</v>
      </c>
      <c r="P697" t="s">
        <v>74</v>
      </c>
      <c r="Q697" t="s">
        <v>74</v>
      </c>
      <c r="R697" t="s">
        <v>74</v>
      </c>
      <c r="S697" t="s">
        <v>74</v>
      </c>
      <c r="T697" t="s">
        <v>74</v>
      </c>
      <c r="U697" t="s">
        <v>8460</v>
      </c>
      <c r="V697" t="s">
        <v>8461</v>
      </c>
      <c r="W697" t="s">
        <v>8462</v>
      </c>
      <c r="X697" t="s">
        <v>3108</v>
      </c>
      <c r="Y697" t="s">
        <v>8463</v>
      </c>
      <c r="Z697" t="s">
        <v>74</v>
      </c>
      <c r="AA697" t="s">
        <v>8464</v>
      </c>
      <c r="AB697" t="s">
        <v>199</v>
      </c>
      <c r="AC697" t="s">
        <v>74</v>
      </c>
      <c r="AD697" t="s">
        <v>74</v>
      </c>
      <c r="AE697" t="s">
        <v>74</v>
      </c>
      <c r="AF697" t="s">
        <v>74</v>
      </c>
      <c r="AG697">
        <v>36</v>
      </c>
      <c r="AH697">
        <v>162</v>
      </c>
      <c r="AI697">
        <v>179</v>
      </c>
      <c r="AJ697">
        <v>1</v>
      </c>
      <c r="AK697">
        <v>43</v>
      </c>
      <c r="AL697" t="s">
        <v>87</v>
      </c>
      <c r="AM697" t="s">
        <v>88</v>
      </c>
      <c r="AN697" t="s">
        <v>7533</v>
      </c>
      <c r="AO697" t="s">
        <v>1589</v>
      </c>
      <c r="AP697" t="s">
        <v>74</v>
      </c>
      <c r="AQ697" t="s">
        <v>74</v>
      </c>
      <c r="AR697" t="s">
        <v>1590</v>
      </c>
      <c r="AS697" t="s">
        <v>1591</v>
      </c>
      <c r="AT697" t="s">
        <v>8444</v>
      </c>
      <c r="AU697">
        <v>1997</v>
      </c>
      <c r="AV697">
        <v>24</v>
      </c>
      <c r="AW697">
        <v>21</v>
      </c>
      <c r="AX697" t="s">
        <v>74</v>
      </c>
      <c r="AY697" t="s">
        <v>74</v>
      </c>
      <c r="AZ697" t="s">
        <v>74</v>
      </c>
      <c r="BA697" t="s">
        <v>74</v>
      </c>
      <c r="BB697">
        <v>2683</v>
      </c>
      <c r="BC697">
        <v>2686</v>
      </c>
      <c r="BD697" t="s">
        <v>74</v>
      </c>
      <c r="BE697" t="s">
        <v>8465</v>
      </c>
      <c r="BF697" t="str">
        <f>HYPERLINK("http://dx.doi.org/10.1029/97GL02658","http://dx.doi.org/10.1029/97GL02658")</f>
        <v>http://dx.doi.org/10.1029/97GL02658</v>
      </c>
      <c r="BG697" t="s">
        <v>74</v>
      </c>
      <c r="BH697" t="s">
        <v>74</v>
      </c>
      <c r="BI697">
        <v>4</v>
      </c>
      <c r="BJ697" t="s">
        <v>769</v>
      </c>
      <c r="BK697" t="s">
        <v>98</v>
      </c>
      <c r="BL697" t="s">
        <v>471</v>
      </c>
      <c r="BM697" t="s">
        <v>8446</v>
      </c>
      <c r="BN697" t="s">
        <v>74</v>
      </c>
      <c r="BO697" t="s">
        <v>509</v>
      </c>
      <c r="BP697" t="s">
        <v>74</v>
      </c>
      <c r="BQ697" t="s">
        <v>74</v>
      </c>
      <c r="BR697" t="s">
        <v>101</v>
      </c>
      <c r="BS697" t="s">
        <v>8466</v>
      </c>
      <c r="BT697" t="str">
        <f>HYPERLINK("https%3A%2F%2Fwww.webofscience.com%2Fwos%2Fwoscc%2Ffull-record%2FWOS:A1997YE98500039","View Full Record in Web of Science")</f>
        <v>View Full Record in Web of Science</v>
      </c>
    </row>
    <row r="698" spans="1:72" x14ac:dyDescent="0.15">
      <c r="A698" t="s">
        <v>72</v>
      </c>
      <c r="B698" t="s">
        <v>8467</v>
      </c>
      <c r="C698" t="s">
        <v>74</v>
      </c>
      <c r="D698" t="s">
        <v>74</v>
      </c>
      <c r="E698" t="s">
        <v>74</v>
      </c>
      <c r="F698" t="s">
        <v>8467</v>
      </c>
      <c r="G698" t="s">
        <v>74</v>
      </c>
      <c r="H698" t="s">
        <v>74</v>
      </c>
      <c r="I698" t="s">
        <v>8468</v>
      </c>
      <c r="J698" t="s">
        <v>4976</v>
      </c>
      <c r="K698" t="s">
        <v>74</v>
      </c>
      <c r="L698" t="s">
        <v>74</v>
      </c>
      <c r="M698" t="s">
        <v>4428</v>
      </c>
      <c r="N698" t="s">
        <v>78</v>
      </c>
      <c r="O698" t="s">
        <v>74</v>
      </c>
      <c r="P698" t="s">
        <v>74</v>
      </c>
      <c r="Q698" t="s">
        <v>74</v>
      </c>
      <c r="R698" t="s">
        <v>74</v>
      </c>
      <c r="S698" t="s">
        <v>74</v>
      </c>
      <c r="T698" t="s">
        <v>74</v>
      </c>
      <c r="U698" t="s">
        <v>8469</v>
      </c>
      <c r="V698" t="s">
        <v>8470</v>
      </c>
      <c r="W698" t="s">
        <v>8471</v>
      </c>
      <c r="X698" t="s">
        <v>8472</v>
      </c>
      <c r="Y698" t="s">
        <v>8473</v>
      </c>
      <c r="Z698" t="s">
        <v>74</v>
      </c>
      <c r="AA698" t="s">
        <v>74</v>
      </c>
      <c r="AB698" t="s">
        <v>8474</v>
      </c>
      <c r="AC698" t="s">
        <v>74</v>
      </c>
      <c r="AD698" t="s">
        <v>74</v>
      </c>
      <c r="AE698" t="s">
        <v>74</v>
      </c>
      <c r="AF698" t="s">
        <v>74</v>
      </c>
      <c r="AG698">
        <v>14</v>
      </c>
      <c r="AH698">
        <v>9</v>
      </c>
      <c r="AI698">
        <v>11</v>
      </c>
      <c r="AJ698">
        <v>0</v>
      </c>
      <c r="AK698">
        <v>2</v>
      </c>
      <c r="AL698" t="s">
        <v>4431</v>
      </c>
      <c r="AM698" t="s">
        <v>4432</v>
      </c>
      <c r="AN698" t="s">
        <v>4433</v>
      </c>
      <c r="AO698" t="s">
        <v>4984</v>
      </c>
      <c r="AP698" t="s">
        <v>74</v>
      </c>
      <c r="AQ698" t="s">
        <v>74</v>
      </c>
      <c r="AR698" t="s">
        <v>4985</v>
      </c>
      <c r="AS698" t="s">
        <v>4986</v>
      </c>
      <c r="AT698" t="s">
        <v>8371</v>
      </c>
      <c r="AU698">
        <v>1997</v>
      </c>
      <c r="AV698">
        <v>33</v>
      </c>
      <c r="AW698">
        <v>6</v>
      </c>
      <c r="AX698" t="s">
        <v>74</v>
      </c>
      <c r="AY698" t="s">
        <v>74</v>
      </c>
      <c r="AZ698" t="s">
        <v>74</v>
      </c>
      <c r="BA698" t="s">
        <v>74</v>
      </c>
      <c r="BB698">
        <v>750</v>
      </c>
      <c r="BC698">
        <v>757</v>
      </c>
      <c r="BD698" t="s">
        <v>74</v>
      </c>
      <c r="BE698" t="s">
        <v>74</v>
      </c>
      <c r="BF698" t="s">
        <v>74</v>
      </c>
      <c r="BG698" t="s">
        <v>74</v>
      </c>
      <c r="BH698" t="s">
        <v>74</v>
      </c>
      <c r="BI698">
        <v>8</v>
      </c>
      <c r="BJ698" t="s">
        <v>4987</v>
      </c>
      <c r="BK698" t="s">
        <v>98</v>
      </c>
      <c r="BL698" t="s">
        <v>4987</v>
      </c>
      <c r="BM698" t="s">
        <v>8475</v>
      </c>
      <c r="BN698" t="s">
        <v>74</v>
      </c>
      <c r="BO698" t="s">
        <v>74</v>
      </c>
      <c r="BP698" t="s">
        <v>74</v>
      </c>
      <c r="BQ698" t="s">
        <v>74</v>
      </c>
      <c r="BR698" t="s">
        <v>101</v>
      </c>
      <c r="BS698" t="s">
        <v>8476</v>
      </c>
      <c r="BT698" t="str">
        <f>HYPERLINK("https%3A%2F%2Fwww.webofscience.com%2Fwos%2Fwoscc%2Ffull-record%2FWOS:000071520000004","View Full Record in Web of Science")</f>
        <v>View Full Record in Web of Science</v>
      </c>
    </row>
    <row r="699" spans="1:72" x14ac:dyDescent="0.15">
      <c r="A699" t="s">
        <v>72</v>
      </c>
      <c r="B699" t="s">
        <v>8477</v>
      </c>
      <c r="C699" t="s">
        <v>74</v>
      </c>
      <c r="D699" t="s">
        <v>74</v>
      </c>
      <c r="E699" t="s">
        <v>74</v>
      </c>
      <c r="F699" t="s">
        <v>8477</v>
      </c>
      <c r="G699" t="s">
        <v>74</v>
      </c>
      <c r="H699" t="s">
        <v>74</v>
      </c>
      <c r="I699" t="s">
        <v>8478</v>
      </c>
      <c r="J699" t="s">
        <v>8479</v>
      </c>
      <c r="K699" t="s">
        <v>74</v>
      </c>
      <c r="L699" t="s">
        <v>74</v>
      </c>
      <c r="M699" t="s">
        <v>77</v>
      </c>
      <c r="N699" t="s">
        <v>212</v>
      </c>
      <c r="O699" t="s">
        <v>74</v>
      </c>
      <c r="P699" t="s">
        <v>74</v>
      </c>
      <c r="Q699" t="s">
        <v>74</v>
      </c>
      <c r="R699" t="s">
        <v>74</v>
      </c>
      <c r="S699" t="s">
        <v>74</v>
      </c>
      <c r="T699" t="s">
        <v>74</v>
      </c>
      <c r="U699" t="s">
        <v>74</v>
      </c>
      <c r="V699" t="s">
        <v>74</v>
      </c>
      <c r="W699" t="s">
        <v>758</v>
      </c>
      <c r="X699" t="s">
        <v>322</v>
      </c>
      <c r="Y699" t="s">
        <v>8480</v>
      </c>
      <c r="Z699" t="s">
        <v>74</v>
      </c>
      <c r="AA699" t="s">
        <v>74</v>
      </c>
      <c r="AB699" t="s">
        <v>74</v>
      </c>
      <c r="AC699" t="s">
        <v>74</v>
      </c>
      <c r="AD699" t="s">
        <v>74</v>
      </c>
      <c r="AE699" t="s">
        <v>74</v>
      </c>
      <c r="AF699" t="s">
        <v>74</v>
      </c>
      <c r="AG699">
        <v>0</v>
      </c>
      <c r="AH699">
        <v>0</v>
      </c>
      <c r="AI699">
        <v>0</v>
      </c>
      <c r="AJ699">
        <v>0</v>
      </c>
      <c r="AK699">
        <v>0</v>
      </c>
      <c r="AL699" t="s">
        <v>451</v>
      </c>
      <c r="AM699" t="s">
        <v>214</v>
      </c>
      <c r="AN699" t="s">
        <v>452</v>
      </c>
      <c r="AO699" t="s">
        <v>8481</v>
      </c>
      <c r="AP699" t="s">
        <v>74</v>
      </c>
      <c r="AQ699" t="s">
        <v>74</v>
      </c>
      <c r="AR699" t="s">
        <v>8482</v>
      </c>
      <c r="AS699" t="s">
        <v>8483</v>
      </c>
      <c r="AT699" t="s">
        <v>8263</v>
      </c>
      <c r="AU699">
        <v>1997</v>
      </c>
      <c r="AV699">
        <v>25</v>
      </c>
      <c r="AW699">
        <v>4</v>
      </c>
      <c r="AX699" t="s">
        <v>74</v>
      </c>
      <c r="AY699" t="s">
        <v>74</v>
      </c>
      <c r="AZ699" t="s">
        <v>74</v>
      </c>
      <c r="BA699" t="s">
        <v>74</v>
      </c>
      <c r="BB699">
        <v>503</v>
      </c>
      <c r="BC699">
        <v>504</v>
      </c>
      <c r="BD699" t="s">
        <v>74</v>
      </c>
      <c r="BE699" t="s">
        <v>8484</v>
      </c>
      <c r="BF699" t="str">
        <f>HYPERLINK("http://dx.doi.org/10.1016/S0899-5362(97)00121-8","http://dx.doi.org/10.1016/S0899-5362(97)00121-8")</f>
        <v>http://dx.doi.org/10.1016/S0899-5362(97)00121-8</v>
      </c>
      <c r="BG699" t="s">
        <v>74</v>
      </c>
      <c r="BH699" t="s">
        <v>74</v>
      </c>
      <c r="BI699">
        <v>2</v>
      </c>
      <c r="BJ699" t="s">
        <v>769</v>
      </c>
      <c r="BK699" t="s">
        <v>98</v>
      </c>
      <c r="BL699" t="s">
        <v>471</v>
      </c>
      <c r="BM699" t="s">
        <v>8485</v>
      </c>
      <c r="BN699" t="s">
        <v>74</v>
      </c>
      <c r="BO699" t="s">
        <v>74</v>
      </c>
      <c r="BP699" t="s">
        <v>74</v>
      </c>
      <c r="BQ699" t="s">
        <v>74</v>
      </c>
      <c r="BR699" t="s">
        <v>101</v>
      </c>
      <c r="BS699" t="s">
        <v>8486</v>
      </c>
      <c r="BT699" t="str">
        <f>HYPERLINK("https%3A%2F%2Fwww.webofscience.com%2Fwos%2Fwoscc%2Ffull-record%2FWOS:000071515800001","View Full Record in Web of Science")</f>
        <v>View Full Record in Web of Science</v>
      </c>
    </row>
    <row r="700" spans="1:72" x14ac:dyDescent="0.15">
      <c r="A700" t="s">
        <v>72</v>
      </c>
      <c r="B700" t="s">
        <v>8487</v>
      </c>
      <c r="C700" t="s">
        <v>74</v>
      </c>
      <c r="D700" t="s">
        <v>74</v>
      </c>
      <c r="E700" t="s">
        <v>74</v>
      </c>
      <c r="F700" t="s">
        <v>8487</v>
      </c>
      <c r="G700" t="s">
        <v>74</v>
      </c>
      <c r="H700" t="s">
        <v>74</v>
      </c>
      <c r="I700" t="s">
        <v>8488</v>
      </c>
      <c r="J700" t="s">
        <v>602</v>
      </c>
      <c r="K700" t="s">
        <v>74</v>
      </c>
      <c r="L700" t="s">
        <v>74</v>
      </c>
      <c r="M700" t="s">
        <v>77</v>
      </c>
      <c r="N700" t="s">
        <v>78</v>
      </c>
      <c r="O700" t="s">
        <v>74</v>
      </c>
      <c r="P700" t="s">
        <v>74</v>
      </c>
      <c r="Q700" t="s">
        <v>74</v>
      </c>
      <c r="R700" t="s">
        <v>74</v>
      </c>
      <c r="S700" t="s">
        <v>74</v>
      </c>
      <c r="T700" t="s">
        <v>74</v>
      </c>
      <c r="U700" t="s">
        <v>8489</v>
      </c>
      <c r="V700" t="s">
        <v>8490</v>
      </c>
      <c r="W700" t="s">
        <v>8491</v>
      </c>
      <c r="X700" t="s">
        <v>8492</v>
      </c>
      <c r="Y700" t="s">
        <v>8493</v>
      </c>
      <c r="Z700" t="s">
        <v>74</v>
      </c>
      <c r="AA700" t="s">
        <v>74</v>
      </c>
      <c r="AB700" t="s">
        <v>74</v>
      </c>
      <c r="AC700" t="s">
        <v>74</v>
      </c>
      <c r="AD700" t="s">
        <v>74</v>
      </c>
      <c r="AE700" t="s">
        <v>74</v>
      </c>
      <c r="AF700" t="s">
        <v>74</v>
      </c>
      <c r="AG700">
        <v>29</v>
      </c>
      <c r="AH700">
        <v>22</v>
      </c>
      <c r="AI700">
        <v>23</v>
      </c>
      <c r="AJ700">
        <v>0</v>
      </c>
      <c r="AK700">
        <v>2</v>
      </c>
      <c r="AL700" t="s">
        <v>451</v>
      </c>
      <c r="AM700" t="s">
        <v>214</v>
      </c>
      <c r="AN700" t="s">
        <v>7151</v>
      </c>
      <c r="AO700" t="s">
        <v>610</v>
      </c>
      <c r="AP700" t="s">
        <v>74</v>
      </c>
      <c r="AQ700" t="s">
        <v>74</v>
      </c>
      <c r="AR700" t="s">
        <v>611</v>
      </c>
      <c r="AS700" t="s">
        <v>612</v>
      </c>
      <c r="AT700" t="s">
        <v>8263</v>
      </c>
      <c r="AU700">
        <v>1997</v>
      </c>
      <c r="AV700">
        <v>59</v>
      </c>
      <c r="AW700">
        <v>16</v>
      </c>
      <c r="AX700" t="s">
        <v>74</v>
      </c>
      <c r="AY700" t="s">
        <v>74</v>
      </c>
      <c r="AZ700" t="s">
        <v>74</v>
      </c>
      <c r="BA700" t="s">
        <v>74</v>
      </c>
      <c r="BB700">
        <v>2009</v>
      </c>
      <c r="BC700">
        <v>2022</v>
      </c>
      <c r="BD700" t="s">
        <v>74</v>
      </c>
      <c r="BE700" t="s">
        <v>8494</v>
      </c>
      <c r="BF700" t="str">
        <f>HYPERLINK("http://dx.doi.org/10.1016/S1364-6826(97)00034-5","http://dx.doi.org/10.1016/S1364-6826(97)00034-5")</f>
        <v>http://dx.doi.org/10.1016/S1364-6826(97)00034-5</v>
      </c>
      <c r="BG700" t="s">
        <v>74</v>
      </c>
      <c r="BH700" t="s">
        <v>74</v>
      </c>
      <c r="BI700">
        <v>14</v>
      </c>
      <c r="BJ700" t="s">
        <v>614</v>
      </c>
      <c r="BK700" t="s">
        <v>98</v>
      </c>
      <c r="BL700" t="s">
        <v>614</v>
      </c>
      <c r="BM700" t="s">
        <v>8495</v>
      </c>
      <c r="BN700" t="s">
        <v>74</v>
      </c>
      <c r="BO700" t="s">
        <v>74</v>
      </c>
      <c r="BP700" t="s">
        <v>74</v>
      </c>
      <c r="BQ700" t="s">
        <v>74</v>
      </c>
      <c r="BR700" t="s">
        <v>101</v>
      </c>
      <c r="BS700" t="s">
        <v>8496</v>
      </c>
      <c r="BT700" t="str">
        <f>HYPERLINK("https%3A%2F%2Fwww.webofscience.com%2Fwos%2Fwoscc%2Ffull-record%2FWOS:A1997YE69600002","View Full Record in Web of Science")</f>
        <v>View Full Record in Web of Science</v>
      </c>
    </row>
    <row r="701" spans="1:72" x14ac:dyDescent="0.15">
      <c r="A701" t="s">
        <v>72</v>
      </c>
      <c r="B701" t="s">
        <v>8497</v>
      </c>
      <c r="C701" t="s">
        <v>74</v>
      </c>
      <c r="D701" t="s">
        <v>74</v>
      </c>
      <c r="E701" t="s">
        <v>74</v>
      </c>
      <c r="F701" t="s">
        <v>8497</v>
      </c>
      <c r="G701" t="s">
        <v>74</v>
      </c>
      <c r="H701" t="s">
        <v>74</v>
      </c>
      <c r="I701" t="s">
        <v>8498</v>
      </c>
      <c r="J701" t="s">
        <v>1658</v>
      </c>
      <c r="K701" t="s">
        <v>74</v>
      </c>
      <c r="L701" t="s">
        <v>74</v>
      </c>
      <c r="M701" t="s">
        <v>77</v>
      </c>
      <c r="N701" t="s">
        <v>78</v>
      </c>
      <c r="O701" t="s">
        <v>74</v>
      </c>
      <c r="P701" t="s">
        <v>74</v>
      </c>
      <c r="Q701" t="s">
        <v>74</v>
      </c>
      <c r="R701" t="s">
        <v>74</v>
      </c>
      <c r="S701" t="s">
        <v>74</v>
      </c>
      <c r="T701" t="s">
        <v>74</v>
      </c>
      <c r="U701" t="s">
        <v>8499</v>
      </c>
      <c r="V701" t="s">
        <v>8500</v>
      </c>
      <c r="W701" t="s">
        <v>8501</v>
      </c>
      <c r="X701" t="s">
        <v>8502</v>
      </c>
      <c r="Y701" t="s">
        <v>8503</v>
      </c>
      <c r="Z701" t="s">
        <v>74</v>
      </c>
      <c r="AA701" t="s">
        <v>608</v>
      </c>
      <c r="AB701" t="s">
        <v>609</v>
      </c>
      <c r="AC701" t="s">
        <v>74</v>
      </c>
      <c r="AD701" t="s">
        <v>74</v>
      </c>
      <c r="AE701" t="s">
        <v>74</v>
      </c>
      <c r="AF701" t="s">
        <v>74</v>
      </c>
      <c r="AG701">
        <v>28</v>
      </c>
      <c r="AH701">
        <v>15</v>
      </c>
      <c r="AI701">
        <v>15</v>
      </c>
      <c r="AJ701">
        <v>0</v>
      </c>
      <c r="AK701">
        <v>2</v>
      </c>
      <c r="AL701" t="s">
        <v>87</v>
      </c>
      <c r="AM701" t="s">
        <v>88</v>
      </c>
      <c r="AN701" t="s">
        <v>7533</v>
      </c>
      <c r="AO701" t="s">
        <v>74</v>
      </c>
      <c r="AP701" t="s">
        <v>74</v>
      </c>
      <c r="AQ701" t="s">
        <v>74</v>
      </c>
      <c r="AR701" t="s">
        <v>1661</v>
      </c>
      <c r="AS701" t="s">
        <v>1662</v>
      </c>
      <c r="AT701" t="s">
        <v>8444</v>
      </c>
      <c r="AU701">
        <v>1997</v>
      </c>
      <c r="AV701">
        <v>102</v>
      </c>
      <c r="AW701" t="s">
        <v>8504</v>
      </c>
      <c r="AX701" t="s">
        <v>74</v>
      </c>
      <c r="AY701" t="s">
        <v>74</v>
      </c>
      <c r="AZ701" t="s">
        <v>74</v>
      </c>
      <c r="BA701" t="s">
        <v>74</v>
      </c>
      <c r="BB701">
        <v>24075</v>
      </c>
      <c r="BC701">
        <v>24090</v>
      </c>
      <c r="BD701" t="s">
        <v>74</v>
      </c>
      <c r="BE701" t="s">
        <v>8505</v>
      </c>
      <c r="BF701" t="str">
        <f>HYPERLINK("http://dx.doi.org/10.1029/97JA01944","http://dx.doi.org/10.1029/97JA01944")</f>
        <v>http://dx.doi.org/10.1029/97JA01944</v>
      </c>
      <c r="BG701" t="s">
        <v>74</v>
      </c>
      <c r="BH701" t="s">
        <v>74</v>
      </c>
      <c r="BI701">
        <v>16</v>
      </c>
      <c r="BJ701" t="s">
        <v>971</v>
      </c>
      <c r="BK701" t="s">
        <v>98</v>
      </c>
      <c r="BL701" t="s">
        <v>971</v>
      </c>
      <c r="BM701" t="s">
        <v>8506</v>
      </c>
      <c r="BN701" t="s">
        <v>74</v>
      </c>
      <c r="BO701" t="s">
        <v>100</v>
      </c>
      <c r="BP701" t="s">
        <v>74</v>
      </c>
      <c r="BQ701" t="s">
        <v>74</v>
      </c>
      <c r="BR701" t="s">
        <v>101</v>
      </c>
      <c r="BS701" t="s">
        <v>8507</v>
      </c>
      <c r="BT701" t="str">
        <f>HYPERLINK("https%3A%2F%2Fwww.webofscience.com%2Fwos%2Fwoscc%2Ffull-record%2FWOS:A1997YE92400008","View Full Record in Web of Science")</f>
        <v>View Full Record in Web of Science</v>
      </c>
    </row>
    <row r="702" spans="1:72" x14ac:dyDescent="0.15">
      <c r="A702" t="s">
        <v>72</v>
      </c>
      <c r="B702" t="s">
        <v>8508</v>
      </c>
      <c r="C702" t="s">
        <v>74</v>
      </c>
      <c r="D702" t="s">
        <v>74</v>
      </c>
      <c r="E702" t="s">
        <v>74</v>
      </c>
      <c r="F702" t="s">
        <v>8508</v>
      </c>
      <c r="G702" t="s">
        <v>74</v>
      </c>
      <c r="H702" t="s">
        <v>74</v>
      </c>
      <c r="I702" t="s">
        <v>8509</v>
      </c>
      <c r="J702" t="s">
        <v>1658</v>
      </c>
      <c r="K702" t="s">
        <v>74</v>
      </c>
      <c r="L702" t="s">
        <v>74</v>
      </c>
      <c r="M702" t="s">
        <v>77</v>
      </c>
      <c r="N702" t="s">
        <v>78</v>
      </c>
      <c r="O702" t="s">
        <v>74</v>
      </c>
      <c r="P702" t="s">
        <v>74</v>
      </c>
      <c r="Q702" t="s">
        <v>74</v>
      </c>
      <c r="R702" t="s">
        <v>74</v>
      </c>
      <c r="S702" t="s">
        <v>74</v>
      </c>
      <c r="T702" t="s">
        <v>74</v>
      </c>
      <c r="U702" t="s">
        <v>8510</v>
      </c>
      <c r="V702" t="s">
        <v>8511</v>
      </c>
      <c r="W702" t="s">
        <v>8512</v>
      </c>
      <c r="X702" t="s">
        <v>8513</v>
      </c>
      <c r="Y702" t="s">
        <v>74</v>
      </c>
      <c r="Z702" t="s">
        <v>74</v>
      </c>
      <c r="AA702" t="s">
        <v>74</v>
      </c>
      <c r="AB702" t="s">
        <v>8514</v>
      </c>
      <c r="AC702" t="s">
        <v>74</v>
      </c>
      <c r="AD702" t="s">
        <v>74</v>
      </c>
      <c r="AE702" t="s">
        <v>74</v>
      </c>
      <c r="AF702" t="s">
        <v>74</v>
      </c>
      <c r="AG702">
        <v>38</v>
      </c>
      <c r="AH702">
        <v>103</v>
      </c>
      <c r="AI702">
        <v>105</v>
      </c>
      <c r="AJ702">
        <v>1</v>
      </c>
      <c r="AK702">
        <v>6</v>
      </c>
      <c r="AL702" t="s">
        <v>87</v>
      </c>
      <c r="AM702" t="s">
        <v>88</v>
      </c>
      <c r="AN702" t="s">
        <v>7533</v>
      </c>
      <c r="AO702" t="s">
        <v>74</v>
      </c>
      <c r="AP702" t="s">
        <v>74</v>
      </c>
      <c r="AQ702" t="s">
        <v>74</v>
      </c>
      <c r="AR702" t="s">
        <v>1661</v>
      </c>
      <c r="AS702" t="s">
        <v>1662</v>
      </c>
      <c r="AT702" t="s">
        <v>8444</v>
      </c>
      <c r="AU702">
        <v>1997</v>
      </c>
      <c r="AV702">
        <v>102</v>
      </c>
      <c r="AW702" t="s">
        <v>8504</v>
      </c>
      <c r="AX702" t="s">
        <v>74</v>
      </c>
      <c r="AY702" t="s">
        <v>74</v>
      </c>
      <c r="AZ702" t="s">
        <v>74</v>
      </c>
      <c r="BA702" t="s">
        <v>74</v>
      </c>
      <c r="BB702">
        <v>24237</v>
      </c>
      <c r="BC702">
        <v>24248</v>
      </c>
      <c r="BD702" t="s">
        <v>74</v>
      </c>
      <c r="BE702" t="s">
        <v>8515</v>
      </c>
      <c r="BF702" t="str">
        <f>HYPERLINK("http://dx.doi.org/10.1029/97JA01947","http://dx.doi.org/10.1029/97JA01947")</f>
        <v>http://dx.doi.org/10.1029/97JA01947</v>
      </c>
      <c r="BG702" t="s">
        <v>74</v>
      </c>
      <c r="BH702" t="s">
        <v>74</v>
      </c>
      <c r="BI702">
        <v>12</v>
      </c>
      <c r="BJ702" t="s">
        <v>971</v>
      </c>
      <c r="BK702" t="s">
        <v>98</v>
      </c>
      <c r="BL702" t="s">
        <v>971</v>
      </c>
      <c r="BM702" t="s">
        <v>8506</v>
      </c>
      <c r="BN702" t="s">
        <v>74</v>
      </c>
      <c r="BO702" t="s">
        <v>100</v>
      </c>
      <c r="BP702" t="s">
        <v>74</v>
      </c>
      <c r="BQ702" t="s">
        <v>74</v>
      </c>
      <c r="BR702" t="s">
        <v>101</v>
      </c>
      <c r="BS702" t="s">
        <v>8516</v>
      </c>
      <c r="BT702" t="str">
        <f>HYPERLINK("https%3A%2F%2Fwww.webofscience.com%2Fwos%2Fwoscc%2Ffull-record%2FWOS:A1997YE92400022","View Full Record in Web of Science")</f>
        <v>View Full Record in Web of Science</v>
      </c>
    </row>
    <row r="703" spans="1:72" x14ac:dyDescent="0.15">
      <c r="A703" t="s">
        <v>72</v>
      </c>
      <c r="B703" t="s">
        <v>8517</v>
      </c>
      <c r="C703" t="s">
        <v>74</v>
      </c>
      <c r="D703" t="s">
        <v>74</v>
      </c>
      <c r="E703" t="s">
        <v>74</v>
      </c>
      <c r="F703" t="s">
        <v>8517</v>
      </c>
      <c r="G703" t="s">
        <v>74</v>
      </c>
      <c r="H703" t="s">
        <v>74</v>
      </c>
      <c r="I703" t="s">
        <v>8518</v>
      </c>
      <c r="J703" t="s">
        <v>8519</v>
      </c>
      <c r="K703" t="s">
        <v>74</v>
      </c>
      <c r="L703" t="s">
        <v>74</v>
      </c>
      <c r="M703" t="s">
        <v>77</v>
      </c>
      <c r="N703" t="s">
        <v>78</v>
      </c>
      <c r="O703" t="s">
        <v>74</v>
      </c>
      <c r="P703" t="s">
        <v>74</v>
      </c>
      <c r="Q703" t="s">
        <v>74</v>
      </c>
      <c r="R703" t="s">
        <v>74</v>
      </c>
      <c r="S703" t="s">
        <v>74</v>
      </c>
      <c r="T703" t="s">
        <v>74</v>
      </c>
      <c r="U703" t="s">
        <v>8520</v>
      </c>
      <c r="V703" t="s">
        <v>8521</v>
      </c>
      <c r="W703" t="s">
        <v>8522</v>
      </c>
      <c r="X703" t="s">
        <v>8523</v>
      </c>
      <c r="Y703" t="s">
        <v>8524</v>
      </c>
      <c r="Z703" t="s">
        <v>74</v>
      </c>
      <c r="AA703" t="s">
        <v>3525</v>
      </c>
      <c r="AB703" t="s">
        <v>3526</v>
      </c>
      <c r="AC703" t="s">
        <v>74</v>
      </c>
      <c r="AD703" t="s">
        <v>74</v>
      </c>
      <c r="AE703" t="s">
        <v>74</v>
      </c>
      <c r="AF703" t="s">
        <v>74</v>
      </c>
      <c r="AG703">
        <v>45</v>
      </c>
      <c r="AH703">
        <v>16</v>
      </c>
      <c r="AI703">
        <v>17</v>
      </c>
      <c r="AJ703">
        <v>0</v>
      </c>
      <c r="AK703">
        <v>2</v>
      </c>
      <c r="AL703" t="s">
        <v>8525</v>
      </c>
      <c r="AM703" t="s">
        <v>8526</v>
      </c>
      <c r="AN703" t="s">
        <v>8527</v>
      </c>
      <c r="AO703" t="s">
        <v>8528</v>
      </c>
      <c r="AP703" t="s">
        <v>74</v>
      </c>
      <c r="AQ703" t="s">
        <v>74</v>
      </c>
      <c r="AR703" t="s">
        <v>8529</v>
      </c>
      <c r="AS703" t="s">
        <v>8530</v>
      </c>
      <c r="AT703" t="s">
        <v>8263</v>
      </c>
      <c r="AU703">
        <v>1997</v>
      </c>
      <c r="AV703">
        <v>55</v>
      </c>
      <c r="AW703">
        <v>6</v>
      </c>
      <c r="AX703" t="s">
        <v>74</v>
      </c>
      <c r="AY703" t="s">
        <v>74</v>
      </c>
      <c r="AZ703" t="s">
        <v>74</v>
      </c>
      <c r="BA703" t="s">
        <v>74</v>
      </c>
      <c r="BB703">
        <v>1127</v>
      </c>
      <c r="BC703">
        <v>1162</v>
      </c>
      <c r="BD703" t="s">
        <v>74</v>
      </c>
      <c r="BE703" t="s">
        <v>8531</v>
      </c>
      <c r="BF703" t="str">
        <f>HYPERLINK("http://dx.doi.org/10.1357/0022240973224076","http://dx.doi.org/10.1357/0022240973224076")</f>
        <v>http://dx.doi.org/10.1357/0022240973224076</v>
      </c>
      <c r="BG703" t="s">
        <v>74</v>
      </c>
      <c r="BH703" t="s">
        <v>74</v>
      </c>
      <c r="BI703">
        <v>36</v>
      </c>
      <c r="BJ703" t="s">
        <v>97</v>
      </c>
      <c r="BK703" t="s">
        <v>98</v>
      </c>
      <c r="BL703" t="s">
        <v>97</v>
      </c>
      <c r="BM703" t="s">
        <v>8532</v>
      </c>
      <c r="BN703" t="s">
        <v>74</v>
      </c>
      <c r="BO703" t="s">
        <v>74</v>
      </c>
      <c r="BP703" t="s">
        <v>74</v>
      </c>
      <c r="BQ703" t="s">
        <v>74</v>
      </c>
      <c r="BR703" t="s">
        <v>101</v>
      </c>
      <c r="BS703" t="s">
        <v>8533</v>
      </c>
      <c r="BT703" t="str">
        <f>HYPERLINK("https%3A%2F%2Fwww.webofscience.com%2Fwos%2Fwoscc%2Ffull-record%2FWOS:000071777000005","View Full Record in Web of Science")</f>
        <v>View Full Record in Web of Science</v>
      </c>
    </row>
    <row r="704" spans="1:72" x14ac:dyDescent="0.15">
      <c r="A704" t="s">
        <v>72</v>
      </c>
      <c r="B704" t="s">
        <v>8534</v>
      </c>
      <c r="C704" t="s">
        <v>74</v>
      </c>
      <c r="D704" t="s">
        <v>74</v>
      </c>
      <c r="E704" t="s">
        <v>74</v>
      </c>
      <c r="F704" t="s">
        <v>8534</v>
      </c>
      <c r="G704" t="s">
        <v>74</v>
      </c>
      <c r="H704" t="s">
        <v>74</v>
      </c>
      <c r="I704" t="s">
        <v>8535</v>
      </c>
      <c r="J704" t="s">
        <v>8519</v>
      </c>
      <c r="K704" t="s">
        <v>74</v>
      </c>
      <c r="L704" t="s">
        <v>74</v>
      </c>
      <c r="M704" t="s">
        <v>77</v>
      </c>
      <c r="N704" t="s">
        <v>78</v>
      </c>
      <c r="O704" t="s">
        <v>74</v>
      </c>
      <c r="P704" t="s">
        <v>74</v>
      </c>
      <c r="Q704" t="s">
        <v>74</v>
      </c>
      <c r="R704" t="s">
        <v>74</v>
      </c>
      <c r="S704" t="s">
        <v>74</v>
      </c>
      <c r="T704" t="s">
        <v>74</v>
      </c>
      <c r="U704" t="s">
        <v>8536</v>
      </c>
      <c r="V704" t="s">
        <v>8537</v>
      </c>
      <c r="W704" t="s">
        <v>8538</v>
      </c>
      <c r="X704" t="s">
        <v>8539</v>
      </c>
      <c r="Y704" t="s">
        <v>8540</v>
      </c>
      <c r="Z704" t="s">
        <v>74</v>
      </c>
      <c r="AA704" t="s">
        <v>74</v>
      </c>
      <c r="AB704" t="s">
        <v>74</v>
      </c>
      <c r="AC704" t="s">
        <v>74</v>
      </c>
      <c r="AD704" t="s">
        <v>74</v>
      </c>
      <c r="AE704" t="s">
        <v>74</v>
      </c>
      <c r="AF704" t="s">
        <v>74</v>
      </c>
      <c r="AG704">
        <v>15</v>
      </c>
      <c r="AH704">
        <v>1</v>
      </c>
      <c r="AI704">
        <v>1</v>
      </c>
      <c r="AJ704">
        <v>0</v>
      </c>
      <c r="AK704">
        <v>1</v>
      </c>
      <c r="AL704" t="s">
        <v>8525</v>
      </c>
      <c r="AM704" t="s">
        <v>8526</v>
      </c>
      <c r="AN704" t="s">
        <v>8527</v>
      </c>
      <c r="AO704" t="s">
        <v>8528</v>
      </c>
      <c r="AP704" t="s">
        <v>74</v>
      </c>
      <c r="AQ704" t="s">
        <v>74</v>
      </c>
      <c r="AR704" t="s">
        <v>8529</v>
      </c>
      <c r="AS704" t="s">
        <v>8530</v>
      </c>
      <c r="AT704" t="s">
        <v>8263</v>
      </c>
      <c r="AU704">
        <v>1997</v>
      </c>
      <c r="AV704">
        <v>55</v>
      </c>
      <c r="AW704">
        <v>6</v>
      </c>
      <c r="AX704" t="s">
        <v>74</v>
      </c>
      <c r="AY704" t="s">
        <v>74</v>
      </c>
      <c r="AZ704" t="s">
        <v>74</v>
      </c>
      <c r="BA704" t="s">
        <v>74</v>
      </c>
      <c r="BB704">
        <v>1163</v>
      </c>
      <c r="BC704">
        <v>1169</v>
      </c>
      <c r="BD704" t="s">
        <v>74</v>
      </c>
      <c r="BE704" t="s">
        <v>8541</v>
      </c>
      <c r="BF704" t="str">
        <f>HYPERLINK("http://dx.doi.org/10.1357/0022240973224067","http://dx.doi.org/10.1357/0022240973224067")</f>
        <v>http://dx.doi.org/10.1357/0022240973224067</v>
      </c>
      <c r="BG704" t="s">
        <v>74</v>
      </c>
      <c r="BH704" t="s">
        <v>74</v>
      </c>
      <c r="BI704">
        <v>7</v>
      </c>
      <c r="BJ704" t="s">
        <v>97</v>
      </c>
      <c r="BK704" t="s">
        <v>98</v>
      </c>
      <c r="BL704" t="s">
        <v>97</v>
      </c>
      <c r="BM704" t="s">
        <v>8532</v>
      </c>
      <c r="BN704" t="s">
        <v>74</v>
      </c>
      <c r="BO704" t="s">
        <v>74</v>
      </c>
      <c r="BP704" t="s">
        <v>74</v>
      </c>
      <c r="BQ704" t="s">
        <v>74</v>
      </c>
      <c r="BR704" t="s">
        <v>101</v>
      </c>
      <c r="BS704" t="s">
        <v>8542</v>
      </c>
      <c r="BT704" t="str">
        <f>HYPERLINK("https%3A%2F%2Fwww.webofscience.com%2Fwos%2Fwoscc%2Ffull-record%2FWOS:000071777000006","View Full Record in Web of Science")</f>
        <v>View Full Record in Web of Science</v>
      </c>
    </row>
    <row r="705" spans="1:72" x14ac:dyDescent="0.15">
      <c r="A705" t="s">
        <v>72</v>
      </c>
      <c r="B705" t="s">
        <v>8543</v>
      </c>
      <c r="C705" t="s">
        <v>74</v>
      </c>
      <c r="D705" t="s">
        <v>74</v>
      </c>
      <c r="E705" t="s">
        <v>74</v>
      </c>
      <c r="F705" t="s">
        <v>8543</v>
      </c>
      <c r="G705" t="s">
        <v>74</v>
      </c>
      <c r="H705" t="s">
        <v>74</v>
      </c>
      <c r="I705" t="s">
        <v>8544</v>
      </c>
      <c r="J705" t="s">
        <v>739</v>
      </c>
      <c r="K705" t="s">
        <v>74</v>
      </c>
      <c r="L705" t="s">
        <v>74</v>
      </c>
      <c r="M705" t="s">
        <v>77</v>
      </c>
      <c r="N705" t="s">
        <v>78</v>
      </c>
      <c r="O705" t="s">
        <v>74</v>
      </c>
      <c r="P705" t="s">
        <v>74</v>
      </c>
      <c r="Q705" t="s">
        <v>74</v>
      </c>
      <c r="R705" t="s">
        <v>74</v>
      </c>
      <c r="S705" t="s">
        <v>74</v>
      </c>
      <c r="T705" t="s">
        <v>74</v>
      </c>
      <c r="U705" t="s">
        <v>8545</v>
      </c>
      <c r="V705" t="s">
        <v>8546</v>
      </c>
      <c r="W705" t="s">
        <v>8547</v>
      </c>
      <c r="X705" t="s">
        <v>3239</v>
      </c>
      <c r="Y705" t="s">
        <v>74</v>
      </c>
      <c r="Z705" t="s">
        <v>74</v>
      </c>
      <c r="AA705" t="s">
        <v>8548</v>
      </c>
      <c r="AB705" t="s">
        <v>8549</v>
      </c>
      <c r="AC705" t="s">
        <v>74</v>
      </c>
      <c r="AD705" t="s">
        <v>74</v>
      </c>
      <c r="AE705" t="s">
        <v>74</v>
      </c>
      <c r="AF705" t="s">
        <v>74</v>
      </c>
      <c r="AG705">
        <v>29</v>
      </c>
      <c r="AH705">
        <v>7</v>
      </c>
      <c r="AI705">
        <v>8</v>
      </c>
      <c r="AJ705">
        <v>0</v>
      </c>
      <c r="AK705">
        <v>3</v>
      </c>
      <c r="AL705" t="s">
        <v>627</v>
      </c>
      <c r="AM705" t="s">
        <v>628</v>
      </c>
      <c r="AN705" t="s">
        <v>8550</v>
      </c>
      <c r="AO705" t="s">
        <v>746</v>
      </c>
      <c r="AP705" t="s">
        <v>74</v>
      </c>
      <c r="AQ705" t="s">
        <v>74</v>
      </c>
      <c r="AR705" t="s">
        <v>747</v>
      </c>
      <c r="AS705" t="s">
        <v>748</v>
      </c>
      <c r="AT705" t="s">
        <v>8263</v>
      </c>
      <c r="AU705">
        <v>1997</v>
      </c>
      <c r="AV705">
        <v>27</v>
      </c>
      <c r="AW705">
        <v>11</v>
      </c>
      <c r="AX705" t="s">
        <v>74</v>
      </c>
      <c r="AY705" t="s">
        <v>74</v>
      </c>
      <c r="AZ705" t="s">
        <v>74</v>
      </c>
      <c r="BA705" t="s">
        <v>74</v>
      </c>
      <c r="BB705">
        <v>2395</v>
      </c>
      <c r="BC705">
        <v>2404</v>
      </c>
      <c r="BD705" t="s">
        <v>74</v>
      </c>
      <c r="BE705" t="s">
        <v>8551</v>
      </c>
      <c r="BF705" t="str">
        <f>HYPERLINK("http://dx.doi.org/10.1175/1520-0485(1997)027&lt;2395:ATLWDO&gt;2.0.CO;2","http://dx.doi.org/10.1175/1520-0485(1997)027&lt;2395:ATLWDO&gt;2.0.CO;2")</f>
        <v>http://dx.doi.org/10.1175/1520-0485(1997)027&lt;2395:ATLWDO&gt;2.0.CO;2</v>
      </c>
      <c r="BG705" t="s">
        <v>74</v>
      </c>
      <c r="BH705" t="s">
        <v>74</v>
      </c>
      <c r="BI705">
        <v>10</v>
      </c>
      <c r="BJ705" t="s">
        <v>97</v>
      </c>
      <c r="BK705" t="s">
        <v>98</v>
      </c>
      <c r="BL705" t="s">
        <v>97</v>
      </c>
      <c r="BM705" t="s">
        <v>8552</v>
      </c>
      <c r="BN705" t="s">
        <v>74</v>
      </c>
      <c r="BO705" t="s">
        <v>74</v>
      </c>
      <c r="BP705" t="s">
        <v>74</v>
      </c>
      <c r="BQ705" t="s">
        <v>74</v>
      </c>
      <c r="BR705" t="s">
        <v>101</v>
      </c>
      <c r="BS705" t="s">
        <v>8553</v>
      </c>
      <c r="BT705" t="str">
        <f>HYPERLINK("https%3A%2F%2Fwww.webofscience.com%2Fwos%2Fwoscc%2Ffull-record%2FWOS:A1997YF28900007","View Full Record in Web of Science")</f>
        <v>View Full Record in Web of Science</v>
      </c>
    </row>
    <row r="706" spans="1:72" x14ac:dyDescent="0.15">
      <c r="A706" t="s">
        <v>72</v>
      </c>
      <c r="B706" t="s">
        <v>8554</v>
      </c>
      <c r="C706" t="s">
        <v>74</v>
      </c>
      <c r="D706" t="s">
        <v>74</v>
      </c>
      <c r="E706" t="s">
        <v>74</v>
      </c>
      <c r="F706" t="s">
        <v>8554</v>
      </c>
      <c r="G706" t="s">
        <v>74</v>
      </c>
      <c r="H706" t="s">
        <v>74</v>
      </c>
      <c r="I706" t="s">
        <v>8555</v>
      </c>
      <c r="J706" t="s">
        <v>8556</v>
      </c>
      <c r="K706" t="s">
        <v>74</v>
      </c>
      <c r="L706" t="s">
        <v>74</v>
      </c>
      <c r="M706" t="s">
        <v>77</v>
      </c>
      <c r="N706" t="s">
        <v>78</v>
      </c>
      <c r="O706" t="s">
        <v>74</v>
      </c>
      <c r="P706" t="s">
        <v>74</v>
      </c>
      <c r="Q706" t="s">
        <v>74</v>
      </c>
      <c r="R706" t="s">
        <v>74</v>
      </c>
      <c r="S706" t="s">
        <v>74</v>
      </c>
      <c r="T706" t="s">
        <v>74</v>
      </c>
      <c r="U706" t="s">
        <v>8557</v>
      </c>
      <c r="V706" t="s">
        <v>8558</v>
      </c>
      <c r="W706" t="s">
        <v>8559</v>
      </c>
      <c r="X706" t="s">
        <v>8560</v>
      </c>
      <c r="Y706" t="s">
        <v>8561</v>
      </c>
      <c r="Z706" t="s">
        <v>74</v>
      </c>
      <c r="AA706" t="s">
        <v>8562</v>
      </c>
      <c r="AB706" t="s">
        <v>8563</v>
      </c>
      <c r="AC706" t="s">
        <v>74</v>
      </c>
      <c r="AD706" t="s">
        <v>74</v>
      </c>
      <c r="AE706" t="s">
        <v>74</v>
      </c>
      <c r="AF706" t="s">
        <v>74</v>
      </c>
      <c r="AG706">
        <v>49</v>
      </c>
      <c r="AH706">
        <v>65</v>
      </c>
      <c r="AI706">
        <v>67</v>
      </c>
      <c r="AJ706">
        <v>0</v>
      </c>
      <c r="AK706">
        <v>12</v>
      </c>
      <c r="AL706" t="s">
        <v>1692</v>
      </c>
      <c r="AM706" t="s">
        <v>214</v>
      </c>
      <c r="AN706" t="s">
        <v>1693</v>
      </c>
      <c r="AO706" t="s">
        <v>8564</v>
      </c>
      <c r="AP706" t="s">
        <v>74</v>
      </c>
      <c r="AQ706" t="s">
        <v>74</v>
      </c>
      <c r="AR706" t="s">
        <v>8565</v>
      </c>
      <c r="AS706" t="s">
        <v>8566</v>
      </c>
      <c r="AT706" t="s">
        <v>8263</v>
      </c>
      <c r="AU706">
        <v>1997</v>
      </c>
      <c r="AV706">
        <v>19</v>
      </c>
      <c r="AW706">
        <v>11</v>
      </c>
      <c r="AX706" t="s">
        <v>74</v>
      </c>
      <c r="AY706" t="s">
        <v>74</v>
      </c>
      <c r="AZ706" t="s">
        <v>74</v>
      </c>
      <c r="BA706" t="s">
        <v>74</v>
      </c>
      <c r="BB706">
        <v>1671</v>
      </c>
      <c r="BC706">
        <v>1686</v>
      </c>
      <c r="BD706" t="s">
        <v>74</v>
      </c>
      <c r="BE706" t="s">
        <v>8567</v>
      </c>
      <c r="BF706" t="str">
        <f>HYPERLINK("http://dx.doi.org/10.1093/plankt/19.11.1671","http://dx.doi.org/10.1093/plankt/19.11.1671")</f>
        <v>http://dx.doi.org/10.1093/plankt/19.11.1671</v>
      </c>
      <c r="BG706" t="s">
        <v>74</v>
      </c>
      <c r="BH706" t="s">
        <v>74</v>
      </c>
      <c r="BI706">
        <v>16</v>
      </c>
      <c r="BJ706" t="s">
        <v>4525</v>
      </c>
      <c r="BK706" t="s">
        <v>98</v>
      </c>
      <c r="BL706" t="s">
        <v>4525</v>
      </c>
      <c r="BM706" t="s">
        <v>8568</v>
      </c>
      <c r="BN706" t="s">
        <v>74</v>
      </c>
      <c r="BO706" t="s">
        <v>100</v>
      </c>
      <c r="BP706" t="s">
        <v>74</v>
      </c>
      <c r="BQ706" t="s">
        <v>74</v>
      </c>
      <c r="BR706" t="s">
        <v>101</v>
      </c>
      <c r="BS706" t="s">
        <v>8569</v>
      </c>
      <c r="BT706" t="str">
        <f>HYPERLINK("https%3A%2F%2Fwww.webofscience.com%2Fwos%2Fwoscc%2Ffull-record%2FWOS:000071169900006","View Full Record in Web of Science")</f>
        <v>View Full Record in Web of Science</v>
      </c>
    </row>
    <row r="707" spans="1:72" x14ac:dyDescent="0.15">
      <c r="A707" t="s">
        <v>72</v>
      </c>
      <c r="B707" t="s">
        <v>6250</v>
      </c>
      <c r="C707" t="s">
        <v>74</v>
      </c>
      <c r="D707" t="s">
        <v>74</v>
      </c>
      <c r="E707" t="s">
        <v>74</v>
      </c>
      <c r="F707" t="s">
        <v>6250</v>
      </c>
      <c r="G707" t="s">
        <v>74</v>
      </c>
      <c r="H707" t="s">
        <v>74</v>
      </c>
      <c r="I707" t="s">
        <v>8570</v>
      </c>
      <c r="J707" t="s">
        <v>8571</v>
      </c>
      <c r="K707" t="s">
        <v>74</v>
      </c>
      <c r="L707" t="s">
        <v>74</v>
      </c>
      <c r="M707" t="s">
        <v>77</v>
      </c>
      <c r="N707" t="s">
        <v>78</v>
      </c>
      <c r="O707" t="s">
        <v>74</v>
      </c>
      <c r="P707" t="s">
        <v>74</v>
      </c>
      <c r="Q707" t="s">
        <v>74</v>
      </c>
      <c r="R707" t="s">
        <v>74</v>
      </c>
      <c r="S707" t="s">
        <v>74</v>
      </c>
      <c r="T707" t="s">
        <v>8572</v>
      </c>
      <c r="U707" t="s">
        <v>8573</v>
      </c>
      <c r="V707" t="s">
        <v>8574</v>
      </c>
      <c r="W707" t="s">
        <v>74</v>
      </c>
      <c r="X707" t="s">
        <v>74</v>
      </c>
      <c r="Y707" t="s">
        <v>8575</v>
      </c>
      <c r="Z707" t="s">
        <v>74</v>
      </c>
      <c r="AA707" t="s">
        <v>74</v>
      </c>
      <c r="AB707" t="s">
        <v>74</v>
      </c>
      <c r="AC707" t="s">
        <v>74</v>
      </c>
      <c r="AD707" t="s">
        <v>74</v>
      </c>
      <c r="AE707" t="s">
        <v>74</v>
      </c>
      <c r="AF707" t="s">
        <v>74</v>
      </c>
      <c r="AG707">
        <v>30</v>
      </c>
      <c r="AH707">
        <v>6</v>
      </c>
      <c r="AI707">
        <v>6</v>
      </c>
      <c r="AJ707">
        <v>0</v>
      </c>
      <c r="AK707">
        <v>6</v>
      </c>
      <c r="AL707" t="s">
        <v>1956</v>
      </c>
      <c r="AM707" t="s">
        <v>1957</v>
      </c>
      <c r="AN707" t="s">
        <v>1958</v>
      </c>
      <c r="AO707" t="s">
        <v>8576</v>
      </c>
      <c r="AP707" t="s">
        <v>74</v>
      </c>
      <c r="AQ707" t="s">
        <v>74</v>
      </c>
      <c r="AR707" t="s">
        <v>8577</v>
      </c>
      <c r="AS707" t="s">
        <v>8578</v>
      </c>
      <c r="AT707" t="s">
        <v>8263</v>
      </c>
      <c r="AU707">
        <v>1997</v>
      </c>
      <c r="AV707">
        <v>151</v>
      </c>
      <c r="AW707">
        <v>5</v>
      </c>
      <c r="AX707" t="s">
        <v>74</v>
      </c>
      <c r="AY707" t="s">
        <v>74</v>
      </c>
      <c r="AZ707" t="s">
        <v>74</v>
      </c>
      <c r="BA707" t="s">
        <v>74</v>
      </c>
      <c r="BB707">
        <v>550</v>
      </c>
      <c r="BC707">
        <v>555</v>
      </c>
      <c r="BD707" t="s">
        <v>74</v>
      </c>
      <c r="BE707" t="s">
        <v>74</v>
      </c>
      <c r="BF707" t="s">
        <v>74</v>
      </c>
      <c r="BG707" t="s">
        <v>74</v>
      </c>
      <c r="BH707" t="s">
        <v>74</v>
      </c>
      <c r="BI707">
        <v>6</v>
      </c>
      <c r="BJ707" t="s">
        <v>2721</v>
      </c>
      <c r="BK707" t="s">
        <v>98</v>
      </c>
      <c r="BL707" t="s">
        <v>2721</v>
      </c>
      <c r="BM707" t="s">
        <v>8579</v>
      </c>
      <c r="BN707" t="s">
        <v>74</v>
      </c>
      <c r="BO707" t="s">
        <v>74</v>
      </c>
      <c r="BP707" t="s">
        <v>74</v>
      </c>
      <c r="BQ707" t="s">
        <v>74</v>
      </c>
      <c r="BR707" t="s">
        <v>101</v>
      </c>
      <c r="BS707" t="s">
        <v>8580</v>
      </c>
      <c r="BT707" t="str">
        <f>HYPERLINK("https%3A%2F%2Fwww.webofscience.com%2Fwos%2Fwoscc%2Ffull-record%2FWOS:A1997YJ51500006","View Full Record in Web of Science")</f>
        <v>View Full Record in Web of Science</v>
      </c>
    </row>
    <row r="708" spans="1:72" x14ac:dyDescent="0.15">
      <c r="A708" t="s">
        <v>72</v>
      </c>
      <c r="B708" t="s">
        <v>8581</v>
      </c>
      <c r="C708" t="s">
        <v>74</v>
      </c>
      <c r="D708" t="s">
        <v>74</v>
      </c>
      <c r="E708" t="s">
        <v>74</v>
      </c>
      <c r="F708" t="s">
        <v>8581</v>
      </c>
      <c r="G708" t="s">
        <v>74</v>
      </c>
      <c r="H708" t="s">
        <v>74</v>
      </c>
      <c r="I708" t="s">
        <v>8582</v>
      </c>
      <c r="J708" t="s">
        <v>8583</v>
      </c>
      <c r="K708" t="s">
        <v>74</v>
      </c>
      <c r="L708" t="s">
        <v>74</v>
      </c>
      <c r="M708" t="s">
        <v>77</v>
      </c>
      <c r="N708" t="s">
        <v>78</v>
      </c>
      <c r="O708" t="s">
        <v>74</v>
      </c>
      <c r="P708" t="s">
        <v>74</v>
      </c>
      <c r="Q708" t="s">
        <v>74</v>
      </c>
      <c r="R708" t="s">
        <v>74</v>
      </c>
      <c r="S708" t="s">
        <v>74</v>
      </c>
      <c r="T708" t="s">
        <v>74</v>
      </c>
      <c r="U708" t="s">
        <v>8584</v>
      </c>
      <c r="V708" t="s">
        <v>8585</v>
      </c>
      <c r="W708" t="s">
        <v>8586</v>
      </c>
      <c r="X708" t="s">
        <v>8587</v>
      </c>
      <c r="Y708" t="s">
        <v>8588</v>
      </c>
      <c r="Z708" t="s">
        <v>74</v>
      </c>
      <c r="AA708" t="s">
        <v>8589</v>
      </c>
      <c r="AB708" t="s">
        <v>8590</v>
      </c>
      <c r="AC708" t="s">
        <v>74</v>
      </c>
      <c r="AD708" t="s">
        <v>74</v>
      </c>
      <c r="AE708" t="s">
        <v>74</v>
      </c>
      <c r="AF708" t="s">
        <v>74</v>
      </c>
      <c r="AG708">
        <v>72</v>
      </c>
      <c r="AH708">
        <v>48</v>
      </c>
      <c r="AI708">
        <v>50</v>
      </c>
      <c r="AJ708">
        <v>0</v>
      </c>
      <c r="AK708">
        <v>1</v>
      </c>
      <c r="AL708" t="s">
        <v>8591</v>
      </c>
      <c r="AM708" t="s">
        <v>8592</v>
      </c>
      <c r="AN708" t="s">
        <v>8593</v>
      </c>
      <c r="AO708" t="s">
        <v>8594</v>
      </c>
      <c r="AP708" t="s">
        <v>74</v>
      </c>
      <c r="AQ708" t="s">
        <v>74</v>
      </c>
      <c r="AR708" t="s">
        <v>8595</v>
      </c>
      <c r="AS708" t="s">
        <v>8596</v>
      </c>
      <c r="AT708" t="s">
        <v>8263</v>
      </c>
      <c r="AU708">
        <v>1997</v>
      </c>
      <c r="AV708">
        <v>67</v>
      </c>
      <c r="AW708">
        <v>6</v>
      </c>
      <c r="AX708" t="s">
        <v>8597</v>
      </c>
      <c r="AY708" t="s">
        <v>74</v>
      </c>
      <c r="AZ708" t="s">
        <v>74</v>
      </c>
      <c r="BA708" t="s">
        <v>74</v>
      </c>
      <c r="BB708">
        <v>1005</v>
      </c>
      <c r="BC708">
        <v>1017</v>
      </c>
      <c r="BD708" t="s">
        <v>74</v>
      </c>
      <c r="BE708" t="s">
        <v>74</v>
      </c>
      <c r="BF708" t="s">
        <v>74</v>
      </c>
      <c r="BG708" t="s">
        <v>74</v>
      </c>
      <c r="BH708" t="s">
        <v>74</v>
      </c>
      <c r="BI708">
        <v>13</v>
      </c>
      <c r="BJ708" t="s">
        <v>471</v>
      </c>
      <c r="BK708" t="s">
        <v>98</v>
      </c>
      <c r="BL708" t="s">
        <v>471</v>
      </c>
      <c r="BM708" t="s">
        <v>8598</v>
      </c>
      <c r="BN708" t="s">
        <v>74</v>
      </c>
      <c r="BO708" t="s">
        <v>74</v>
      </c>
      <c r="BP708" t="s">
        <v>74</v>
      </c>
      <c r="BQ708" t="s">
        <v>74</v>
      </c>
      <c r="BR708" t="s">
        <v>101</v>
      </c>
      <c r="BS708" t="s">
        <v>8599</v>
      </c>
      <c r="BT708" t="str">
        <f>HYPERLINK("https%3A%2F%2Fwww.webofscience.com%2Fwos%2Fwoscc%2Ffull-record%2FWOS:A1997YH41500003","View Full Record in Web of Science")</f>
        <v>View Full Record in Web of Science</v>
      </c>
    </row>
    <row r="709" spans="1:72" x14ac:dyDescent="0.15">
      <c r="A709" t="s">
        <v>72</v>
      </c>
      <c r="B709" t="s">
        <v>8600</v>
      </c>
      <c r="C709" t="s">
        <v>74</v>
      </c>
      <c r="D709" t="s">
        <v>74</v>
      </c>
      <c r="E709" t="s">
        <v>74</v>
      </c>
      <c r="F709" t="s">
        <v>8600</v>
      </c>
      <c r="G709" t="s">
        <v>74</v>
      </c>
      <c r="H709" t="s">
        <v>74</v>
      </c>
      <c r="I709" t="s">
        <v>8601</v>
      </c>
      <c r="J709" t="s">
        <v>8602</v>
      </c>
      <c r="K709" t="s">
        <v>74</v>
      </c>
      <c r="L709" t="s">
        <v>74</v>
      </c>
      <c r="M709" t="s">
        <v>77</v>
      </c>
      <c r="N709" t="s">
        <v>78</v>
      </c>
      <c r="O709" t="s">
        <v>74</v>
      </c>
      <c r="P709" t="s">
        <v>74</v>
      </c>
      <c r="Q709" t="s">
        <v>74</v>
      </c>
      <c r="R709" t="s">
        <v>74</v>
      </c>
      <c r="S709" t="s">
        <v>74</v>
      </c>
      <c r="T709" t="s">
        <v>74</v>
      </c>
      <c r="U709" t="s">
        <v>8603</v>
      </c>
      <c r="V709" t="s">
        <v>8604</v>
      </c>
      <c r="W709" t="s">
        <v>8605</v>
      </c>
      <c r="X709" t="s">
        <v>6535</v>
      </c>
      <c r="Y709" t="s">
        <v>8606</v>
      </c>
      <c r="Z709" t="s">
        <v>74</v>
      </c>
      <c r="AA709" t="s">
        <v>74</v>
      </c>
      <c r="AB709" t="s">
        <v>74</v>
      </c>
      <c r="AC709" t="s">
        <v>74</v>
      </c>
      <c r="AD709" t="s">
        <v>74</v>
      </c>
      <c r="AE709" t="s">
        <v>74</v>
      </c>
      <c r="AF709" t="s">
        <v>74</v>
      </c>
      <c r="AG709">
        <v>40</v>
      </c>
      <c r="AH709">
        <v>24</v>
      </c>
      <c r="AI709">
        <v>26</v>
      </c>
      <c r="AJ709">
        <v>0</v>
      </c>
      <c r="AK709">
        <v>4</v>
      </c>
      <c r="AL709" t="s">
        <v>243</v>
      </c>
      <c r="AM709" t="s">
        <v>244</v>
      </c>
      <c r="AN709" t="s">
        <v>245</v>
      </c>
      <c r="AO709" t="s">
        <v>8607</v>
      </c>
      <c r="AP709" t="s">
        <v>8608</v>
      </c>
      <c r="AQ709" t="s">
        <v>74</v>
      </c>
      <c r="AR709" t="s">
        <v>8609</v>
      </c>
      <c r="AS709" t="s">
        <v>8610</v>
      </c>
      <c r="AT709" t="s">
        <v>8263</v>
      </c>
      <c r="AU709">
        <v>1997</v>
      </c>
      <c r="AV709">
        <v>77</v>
      </c>
      <c r="AW709">
        <v>4</v>
      </c>
      <c r="AX709" t="s">
        <v>74</v>
      </c>
      <c r="AY709" t="s">
        <v>74</v>
      </c>
      <c r="AZ709" t="s">
        <v>74</v>
      </c>
      <c r="BA709" t="s">
        <v>74</v>
      </c>
      <c r="BB709">
        <v>989</v>
      </c>
      <c r="BC709">
        <v>997</v>
      </c>
      <c r="BD709" t="s">
        <v>74</v>
      </c>
      <c r="BE709" t="s">
        <v>8611</v>
      </c>
      <c r="BF709" t="str">
        <f>HYPERLINK("http://dx.doi.org/10.1017/S0025315400038571","http://dx.doi.org/10.1017/S0025315400038571")</f>
        <v>http://dx.doi.org/10.1017/S0025315400038571</v>
      </c>
      <c r="BG709" t="s">
        <v>74</v>
      </c>
      <c r="BH709" t="s">
        <v>74</v>
      </c>
      <c r="BI709">
        <v>9</v>
      </c>
      <c r="BJ709" t="s">
        <v>1802</v>
      </c>
      <c r="BK709" t="s">
        <v>98</v>
      </c>
      <c r="BL709" t="s">
        <v>1802</v>
      </c>
      <c r="BM709" t="s">
        <v>8612</v>
      </c>
      <c r="BN709" t="s">
        <v>74</v>
      </c>
      <c r="BO709" t="s">
        <v>74</v>
      </c>
      <c r="BP709" t="s">
        <v>74</v>
      </c>
      <c r="BQ709" t="s">
        <v>74</v>
      </c>
      <c r="BR709" t="s">
        <v>101</v>
      </c>
      <c r="BS709" t="s">
        <v>8613</v>
      </c>
      <c r="BT709" t="str">
        <f>HYPERLINK("https%3A%2F%2Fwww.webofscience.com%2Fwos%2Fwoscc%2Ffull-record%2FWOS:A1997YJ06100005","View Full Record in Web of Science")</f>
        <v>View Full Record in Web of Science</v>
      </c>
    </row>
    <row r="710" spans="1:72" x14ac:dyDescent="0.15">
      <c r="A710" t="s">
        <v>72</v>
      </c>
      <c r="B710" t="s">
        <v>8614</v>
      </c>
      <c r="C710" t="s">
        <v>74</v>
      </c>
      <c r="D710" t="s">
        <v>74</v>
      </c>
      <c r="E710" t="s">
        <v>74</v>
      </c>
      <c r="F710" t="s">
        <v>8614</v>
      </c>
      <c r="G710" t="s">
        <v>74</v>
      </c>
      <c r="H710" t="s">
        <v>74</v>
      </c>
      <c r="I710" t="s">
        <v>8615</v>
      </c>
      <c r="J710" t="s">
        <v>5407</v>
      </c>
      <c r="K710" t="s">
        <v>74</v>
      </c>
      <c r="L710" t="s">
        <v>74</v>
      </c>
      <c r="M710" t="s">
        <v>77</v>
      </c>
      <c r="N710" t="s">
        <v>78</v>
      </c>
      <c r="O710" t="s">
        <v>74</v>
      </c>
      <c r="P710" t="s">
        <v>74</v>
      </c>
      <c r="Q710" t="s">
        <v>74</v>
      </c>
      <c r="R710" t="s">
        <v>74</v>
      </c>
      <c r="S710" t="s">
        <v>74</v>
      </c>
      <c r="T710" t="s">
        <v>74</v>
      </c>
      <c r="U710" t="s">
        <v>8616</v>
      </c>
      <c r="V710" t="s">
        <v>8617</v>
      </c>
      <c r="W710" t="s">
        <v>8618</v>
      </c>
      <c r="X710" t="s">
        <v>8619</v>
      </c>
      <c r="Y710" t="s">
        <v>8620</v>
      </c>
      <c r="Z710" t="s">
        <v>74</v>
      </c>
      <c r="AA710" t="s">
        <v>74</v>
      </c>
      <c r="AB710" t="s">
        <v>74</v>
      </c>
      <c r="AC710" t="s">
        <v>74</v>
      </c>
      <c r="AD710" t="s">
        <v>74</v>
      </c>
      <c r="AE710" t="s">
        <v>74</v>
      </c>
      <c r="AF710" t="s">
        <v>74</v>
      </c>
      <c r="AG710">
        <v>37</v>
      </c>
      <c r="AH710">
        <v>13</v>
      </c>
      <c r="AI710">
        <v>15</v>
      </c>
      <c r="AJ710">
        <v>0</v>
      </c>
      <c r="AK710">
        <v>10</v>
      </c>
      <c r="AL710" t="s">
        <v>5413</v>
      </c>
      <c r="AM710" t="s">
        <v>5414</v>
      </c>
      <c r="AN710" t="s">
        <v>5415</v>
      </c>
      <c r="AO710" t="s">
        <v>5416</v>
      </c>
      <c r="AP710" t="s">
        <v>74</v>
      </c>
      <c r="AQ710" t="s">
        <v>74</v>
      </c>
      <c r="AR710" t="s">
        <v>5417</v>
      </c>
      <c r="AS710" t="s">
        <v>5418</v>
      </c>
      <c r="AT710" t="s">
        <v>8263</v>
      </c>
      <c r="AU710">
        <v>1997</v>
      </c>
      <c r="AV710">
        <v>42</v>
      </c>
      <c r="AW710">
        <v>7</v>
      </c>
      <c r="AX710" t="s">
        <v>74</v>
      </c>
      <c r="AY710" t="s">
        <v>74</v>
      </c>
      <c r="AZ710" t="s">
        <v>74</v>
      </c>
      <c r="BA710" t="s">
        <v>74</v>
      </c>
      <c r="BB710">
        <v>1561</v>
      </c>
      <c r="BC710">
        <v>1569</v>
      </c>
      <c r="BD710" t="s">
        <v>74</v>
      </c>
      <c r="BE710" t="s">
        <v>8621</v>
      </c>
      <c r="BF710" t="str">
        <f>HYPERLINK("http://dx.doi.org/10.4319/lo.1997.42.7.1561","http://dx.doi.org/10.4319/lo.1997.42.7.1561")</f>
        <v>http://dx.doi.org/10.4319/lo.1997.42.7.1561</v>
      </c>
      <c r="BG710" t="s">
        <v>74</v>
      </c>
      <c r="BH710" t="s">
        <v>74</v>
      </c>
      <c r="BI710">
        <v>9</v>
      </c>
      <c r="BJ710" t="s">
        <v>5420</v>
      </c>
      <c r="BK710" t="s">
        <v>98</v>
      </c>
      <c r="BL710" t="s">
        <v>4525</v>
      </c>
      <c r="BM710" t="s">
        <v>8622</v>
      </c>
      <c r="BN710">
        <v>11541255</v>
      </c>
      <c r="BO710" t="s">
        <v>74</v>
      </c>
      <c r="BP710" t="s">
        <v>74</v>
      </c>
      <c r="BQ710" t="s">
        <v>74</v>
      </c>
      <c r="BR710" t="s">
        <v>101</v>
      </c>
      <c r="BS710" t="s">
        <v>8623</v>
      </c>
      <c r="BT710" t="str">
        <f>HYPERLINK("https%3A%2F%2Fwww.webofscience.com%2Fwos%2Fwoscc%2Ffull-record%2FWOS:000072822100008","View Full Record in Web of Science")</f>
        <v>View Full Record in Web of Science</v>
      </c>
    </row>
    <row r="711" spans="1:72" x14ac:dyDescent="0.15">
      <c r="A711" t="s">
        <v>72</v>
      </c>
      <c r="B711" t="s">
        <v>8624</v>
      </c>
      <c r="C711" t="s">
        <v>74</v>
      </c>
      <c r="D711" t="s">
        <v>74</v>
      </c>
      <c r="E711" t="s">
        <v>74</v>
      </c>
      <c r="F711" t="s">
        <v>8624</v>
      </c>
      <c r="G711" t="s">
        <v>74</v>
      </c>
      <c r="H711" t="s">
        <v>74</v>
      </c>
      <c r="I711" t="s">
        <v>8625</v>
      </c>
      <c r="J711" t="s">
        <v>1792</v>
      </c>
      <c r="K711" t="s">
        <v>74</v>
      </c>
      <c r="L711" t="s">
        <v>74</v>
      </c>
      <c r="M711" t="s">
        <v>77</v>
      </c>
      <c r="N711" t="s">
        <v>78</v>
      </c>
      <c r="O711" t="s">
        <v>74</v>
      </c>
      <c r="P711" t="s">
        <v>74</v>
      </c>
      <c r="Q711" t="s">
        <v>74</v>
      </c>
      <c r="R711" t="s">
        <v>74</v>
      </c>
      <c r="S711" t="s">
        <v>74</v>
      </c>
      <c r="T711" t="s">
        <v>74</v>
      </c>
      <c r="U711" t="s">
        <v>74</v>
      </c>
      <c r="V711" t="s">
        <v>8626</v>
      </c>
      <c r="W711" t="s">
        <v>8627</v>
      </c>
      <c r="X711" t="s">
        <v>1714</v>
      </c>
      <c r="Y711" t="s">
        <v>8628</v>
      </c>
      <c r="Z711" t="s">
        <v>74</v>
      </c>
      <c r="AA711" t="s">
        <v>74</v>
      </c>
      <c r="AB711" t="s">
        <v>1362</v>
      </c>
      <c r="AC711" t="s">
        <v>74</v>
      </c>
      <c r="AD711" t="s">
        <v>74</v>
      </c>
      <c r="AE711" t="s">
        <v>74</v>
      </c>
      <c r="AF711" t="s">
        <v>74</v>
      </c>
      <c r="AG711">
        <v>29</v>
      </c>
      <c r="AH711">
        <v>11</v>
      </c>
      <c r="AI711">
        <v>12</v>
      </c>
      <c r="AJ711">
        <v>0</v>
      </c>
      <c r="AK711">
        <v>1</v>
      </c>
      <c r="AL711" t="s">
        <v>897</v>
      </c>
      <c r="AM711" t="s">
        <v>244</v>
      </c>
      <c r="AN711" t="s">
        <v>898</v>
      </c>
      <c r="AO711" t="s">
        <v>1798</v>
      </c>
      <c r="AP711" t="s">
        <v>74</v>
      </c>
      <c r="AQ711" t="s">
        <v>74</v>
      </c>
      <c r="AR711" t="s">
        <v>1799</v>
      </c>
      <c r="AS711" t="s">
        <v>1800</v>
      </c>
      <c r="AT711" t="s">
        <v>8263</v>
      </c>
      <c r="AU711">
        <v>1997</v>
      </c>
      <c r="AV711">
        <v>130</v>
      </c>
      <c r="AW711">
        <v>1</v>
      </c>
      <c r="AX711" t="s">
        <v>74</v>
      </c>
      <c r="AY711" t="s">
        <v>74</v>
      </c>
      <c r="AZ711" t="s">
        <v>74</v>
      </c>
      <c r="BA711" t="s">
        <v>74</v>
      </c>
      <c r="BB711">
        <v>93</v>
      </c>
      <c r="BC711">
        <v>99</v>
      </c>
      <c r="BD711" t="s">
        <v>74</v>
      </c>
      <c r="BE711" t="s">
        <v>8629</v>
      </c>
      <c r="BF711" t="str">
        <f>HYPERLINK("http://dx.doi.org/10.1007/s002270050228","http://dx.doi.org/10.1007/s002270050228")</f>
        <v>http://dx.doi.org/10.1007/s002270050228</v>
      </c>
      <c r="BG711" t="s">
        <v>74</v>
      </c>
      <c r="BH711" t="s">
        <v>74</v>
      </c>
      <c r="BI711">
        <v>7</v>
      </c>
      <c r="BJ711" t="s">
        <v>1802</v>
      </c>
      <c r="BK711" t="s">
        <v>98</v>
      </c>
      <c r="BL711" t="s">
        <v>1802</v>
      </c>
      <c r="BM711" t="s">
        <v>8630</v>
      </c>
      <c r="BN711" t="s">
        <v>74</v>
      </c>
      <c r="BO711" t="s">
        <v>74</v>
      </c>
      <c r="BP711" t="s">
        <v>74</v>
      </c>
      <c r="BQ711" t="s">
        <v>74</v>
      </c>
      <c r="BR711" t="s">
        <v>101</v>
      </c>
      <c r="BS711" t="s">
        <v>8631</v>
      </c>
      <c r="BT711" t="str">
        <f>HYPERLINK("https%3A%2F%2Fwww.webofscience.com%2Fwos%2Fwoscc%2Ffull-record%2FWOS:000071011200010","View Full Record in Web of Science")</f>
        <v>View Full Record in Web of Science</v>
      </c>
    </row>
    <row r="712" spans="1:72" x14ac:dyDescent="0.15">
      <c r="A712" t="s">
        <v>72</v>
      </c>
      <c r="B712" t="s">
        <v>8632</v>
      </c>
      <c r="C712" t="s">
        <v>74</v>
      </c>
      <c r="D712" t="s">
        <v>74</v>
      </c>
      <c r="E712" t="s">
        <v>74</v>
      </c>
      <c r="F712" t="s">
        <v>8632</v>
      </c>
      <c r="G712" t="s">
        <v>74</v>
      </c>
      <c r="H712" t="s">
        <v>74</v>
      </c>
      <c r="I712" t="s">
        <v>8633</v>
      </c>
      <c r="J712" t="s">
        <v>8634</v>
      </c>
      <c r="K712" t="s">
        <v>74</v>
      </c>
      <c r="L712" t="s">
        <v>74</v>
      </c>
      <c r="M712" t="s">
        <v>77</v>
      </c>
      <c r="N712" t="s">
        <v>78</v>
      </c>
      <c r="O712" t="s">
        <v>74</v>
      </c>
      <c r="P712" t="s">
        <v>74</v>
      </c>
      <c r="Q712" t="s">
        <v>74</v>
      </c>
      <c r="R712" t="s">
        <v>74</v>
      </c>
      <c r="S712" t="s">
        <v>74</v>
      </c>
      <c r="T712" t="s">
        <v>8635</v>
      </c>
      <c r="U712" t="s">
        <v>8636</v>
      </c>
      <c r="V712" t="s">
        <v>8637</v>
      </c>
      <c r="W712" t="s">
        <v>8638</v>
      </c>
      <c r="X712" t="s">
        <v>8639</v>
      </c>
      <c r="Y712" t="s">
        <v>8640</v>
      </c>
      <c r="Z712" t="s">
        <v>74</v>
      </c>
      <c r="AA712" t="s">
        <v>8641</v>
      </c>
      <c r="AB712" t="s">
        <v>74</v>
      </c>
      <c r="AC712" t="s">
        <v>74</v>
      </c>
      <c r="AD712" t="s">
        <v>74</v>
      </c>
      <c r="AE712" t="s">
        <v>74</v>
      </c>
      <c r="AF712" t="s">
        <v>74</v>
      </c>
      <c r="AG712">
        <v>59</v>
      </c>
      <c r="AH712">
        <v>38</v>
      </c>
      <c r="AI712">
        <v>39</v>
      </c>
      <c r="AJ712">
        <v>0</v>
      </c>
      <c r="AK712">
        <v>4</v>
      </c>
      <c r="AL712" t="s">
        <v>1029</v>
      </c>
      <c r="AM712" t="s">
        <v>1030</v>
      </c>
      <c r="AN712" t="s">
        <v>1031</v>
      </c>
      <c r="AO712" t="s">
        <v>8642</v>
      </c>
      <c r="AP712" t="s">
        <v>8643</v>
      </c>
      <c r="AQ712" t="s">
        <v>74</v>
      </c>
      <c r="AR712" t="s">
        <v>8644</v>
      </c>
      <c r="AS712" t="s">
        <v>8645</v>
      </c>
      <c r="AT712" t="s">
        <v>8263</v>
      </c>
      <c r="AU712">
        <v>1997</v>
      </c>
      <c r="AV712">
        <v>143</v>
      </c>
      <c r="AW712" t="s">
        <v>4183</v>
      </c>
      <c r="AX712" t="s">
        <v>74</v>
      </c>
      <c r="AY712" t="s">
        <v>74</v>
      </c>
      <c r="AZ712" t="s">
        <v>74</v>
      </c>
      <c r="BA712" t="s">
        <v>74</v>
      </c>
      <c r="BB712">
        <v>103</v>
      </c>
      <c r="BC712">
        <v>123</v>
      </c>
      <c r="BD712" t="s">
        <v>74</v>
      </c>
      <c r="BE712" t="s">
        <v>8646</v>
      </c>
      <c r="BF712" t="str">
        <f>HYPERLINK("http://dx.doi.org/10.1016/S0025-3227(97)00092-3","http://dx.doi.org/10.1016/S0025-3227(97)00092-3")</f>
        <v>http://dx.doi.org/10.1016/S0025-3227(97)00092-3</v>
      </c>
      <c r="BG712" t="s">
        <v>74</v>
      </c>
      <c r="BH712" t="s">
        <v>74</v>
      </c>
      <c r="BI712">
        <v>21</v>
      </c>
      <c r="BJ712" t="s">
        <v>8647</v>
      </c>
      <c r="BK712" t="s">
        <v>98</v>
      </c>
      <c r="BL712" t="s">
        <v>8648</v>
      </c>
      <c r="BM712" t="s">
        <v>8649</v>
      </c>
      <c r="BN712" t="s">
        <v>74</v>
      </c>
      <c r="BO712" t="s">
        <v>74</v>
      </c>
      <c r="BP712" t="s">
        <v>74</v>
      </c>
      <c r="BQ712" t="s">
        <v>74</v>
      </c>
      <c r="BR712" t="s">
        <v>101</v>
      </c>
      <c r="BS712" t="s">
        <v>8650</v>
      </c>
      <c r="BT712" t="str">
        <f>HYPERLINK("https%3A%2F%2Fwww.webofscience.com%2Fwos%2Fwoscc%2Ffull-record%2FWOS:000071215100006","View Full Record in Web of Science")</f>
        <v>View Full Record in Web of Science</v>
      </c>
    </row>
    <row r="713" spans="1:72" x14ac:dyDescent="0.15">
      <c r="A713" t="s">
        <v>72</v>
      </c>
      <c r="B713" t="s">
        <v>8651</v>
      </c>
      <c r="C713" t="s">
        <v>74</v>
      </c>
      <c r="D713" t="s">
        <v>74</v>
      </c>
      <c r="E713" t="s">
        <v>74</v>
      </c>
      <c r="F713" t="s">
        <v>8651</v>
      </c>
      <c r="G713" t="s">
        <v>74</v>
      </c>
      <c r="H713" t="s">
        <v>74</v>
      </c>
      <c r="I713" t="s">
        <v>8652</v>
      </c>
      <c r="J713" t="s">
        <v>8634</v>
      </c>
      <c r="K713" t="s">
        <v>74</v>
      </c>
      <c r="L713" t="s">
        <v>74</v>
      </c>
      <c r="M713" t="s">
        <v>77</v>
      </c>
      <c r="N713" t="s">
        <v>78</v>
      </c>
      <c r="O713" t="s">
        <v>74</v>
      </c>
      <c r="P713" t="s">
        <v>74</v>
      </c>
      <c r="Q713" t="s">
        <v>74</v>
      </c>
      <c r="R713" t="s">
        <v>74</v>
      </c>
      <c r="S713" t="s">
        <v>74</v>
      </c>
      <c r="T713" t="s">
        <v>8653</v>
      </c>
      <c r="U713" t="s">
        <v>8654</v>
      </c>
      <c r="V713" t="s">
        <v>8655</v>
      </c>
      <c r="W713" t="s">
        <v>8656</v>
      </c>
      <c r="X713" t="s">
        <v>8657</v>
      </c>
      <c r="Y713" t="s">
        <v>8658</v>
      </c>
      <c r="Z713" t="s">
        <v>74</v>
      </c>
      <c r="AA713" t="s">
        <v>74</v>
      </c>
      <c r="AB713" t="s">
        <v>74</v>
      </c>
      <c r="AC713" t="s">
        <v>74</v>
      </c>
      <c r="AD713" t="s">
        <v>74</v>
      </c>
      <c r="AE713" t="s">
        <v>74</v>
      </c>
      <c r="AF713" t="s">
        <v>74</v>
      </c>
      <c r="AG713">
        <v>48</v>
      </c>
      <c r="AH713">
        <v>15</v>
      </c>
      <c r="AI713">
        <v>18</v>
      </c>
      <c r="AJ713">
        <v>1</v>
      </c>
      <c r="AK713">
        <v>7</v>
      </c>
      <c r="AL713" t="s">
        <v>1029</v>
      </c>
      <c r="AM713" t="s">
        <v>1030</v>
      </c>
      <c r="AN713" t="s">
        <v>1031</v>
      </c>
      <c r="AO713" t="s">
        <v>8642</v>
      </c>
      <c r="AP713" t="s">
        <v>74</v>
      </c>
      <c r="AQ713" t="s">
        <v>74</v>
      </c>
      <c r="AR713" t="s">
        <v>8644</v>
      </c>
      <c r="AS713" t="s">
        <v>8645</v>
      </c>
      <c r="AT713" t="s">
        <v>8263</v>
      </c>
      <c r="AU713">
        <v>1997</v>
      </c>
      <c r="AV713">
        <v>143</v>
      </c>
      <c r="AW713" t="s">
        <v>4183</v>
      </c>
      <c r="AX713" t="s">
        <v>74</v>
      </c>
      <c r="AY713" t="s">
        <v>74</v>
      </c>
      <c r="AZ713" t="s">
        <v>74</v>
      </c>
      <c r="BA713" t="s">
        <v>74</v>
      </c>
      <c r="BB713">
        <v>223</v>
      </c>
      <c r="BC713">
        <v>262</v>
      </c>
      <c r="BD713" t="s">
        <v>74</v>
      </c>
      <c r="BE713" t="s">
        <v>8659</v>
      </c>
      <c r="BF713" t="str">
        <f>HYPERLINK("http://dx.doi.org/10.1016/S0025-3227(97)00099-6","http://dx.doi.org/10.1016/S0025-3227(97)00099-6")</f>
        <v>http://dx.doi.org/10.1016/S0025-3227(97)00099-6</v>
      </c>
      <c r="BG713" t="s">
        <v>74</v>
      </c>
      <c r="BH713" t="s">
        <v>74</v>
      </c>
      <c r="BI713">
        <v>40</v>
      </c>
      <c r="BJ713" t="s">
        <v>8647</v>
      </c>
      <c r="BK713" t="s">
        <v>98</v>
      </c>
      <c r="BL713" t="s">
        <v>8648</v>
      </c>
      <c r="BM713" t="s">
        <v>8649</v>
      </c>
      <c r="BN713" t="s">
        <v>74</v>
      </c>
      <c r="BO713" t="s">
        <v>74</v>
      </c>
      <c r="BP713" t="s">
        <v>74</v>
      </c>
      <c r="BQ713" t="s">
        <v>74</v>
      </c>
      <c r="BR713" t="s">
        <v>101</v>
      </c>
      <c r="BS713" t="s">
        <v>8660</v>
      </c>
      <c r="BT713" t="str">
        <f>HYPERLINK("https%3A%2F%2Fwww.webofscience.com%2Fwos%2Fwoscc%2Ffull-record%2FWOS:000071215100013","View Full Record in Web of Science")</f>
        <v>View Full Record in Web of Science</v>
      </c>
    </row>
    <row r="714" spans="1:72" x14ac:dyDescent="0.15">
      <c r="A714" t="s">
        <v>72</v>
      </c>
      <c r="B714" t="s">
        <v>8661</v>
      </c>
      <c r="C714" t="s">
        <v>74</v>
      </c>
      <c r="D714" t="s">
        <v>74</v>
      </c>
      <c r="E714" t="s">
        <v>74</v>
      </c>
      <c r="F714" t="s">
        <v>8661</v>
      </c>
      <c r="G714" t="s">
        <v>74</v>
      </c>
      <c r="H714" t="s">
        <v>74</v>
      </c>
      <c r="I714" t="s">
        <v>8662</v>
      </c>
      <c r="J714" t="s">
        <v>8663</v>
      </c>
      <c r="K714" t="s">
        <v>74</v>
      </c>
      <c r="L714" t="s">
        <v>74</v>
      </c>
      <c r="M714" t="s">
        <v>77</v>
      </c>
      <c r="N714" t="s">
        <v>78</v>
      </c>
      <c r="O714" t="s">
        <v>74</v>
      </c>
      <c r="P714" t="s">
        <v>74</v>
      </c>
      <c r="Q714" t="s">
        <v>74</v>
      </c>
      <c r="R714" t="s">
        <v>74</v>
      </c>
      <c r="S714" t="s">
        <v>74</v>
      </c>
      <c r="T714" t="s">
        <v>8664</v>
      </c>
      <c r="U714" t="s">
        <v>8665</v>
      </c>
      <c r="V714" t="s">
        <v>8666</v>
      </c>
      <c r="W714" t="s">
        <v>8667</v>
      </c>
      <c r="X714" t="s">
        <v>2221</v>
      </c>
      <c r="Y714" t="s">
        <v>8668</v>
      </c>
      <c r="Z714" t="s">
        <v>74</v>
      </c>
      <c r="AA714" t="s">
        <v>74</v>
      </c>
      <c r="AB714" t="s">
        <v>74</v>
      </c>
      <c r="AC714" t="s">
        <v>74</v>
      </c>
      <c r="AD714" t="s">
        <v>74</v>
      </c>
      <c r="AE714" t="s">
        <v>74</v>
      </c>
      <c r="AF714" t="s">
        <v>74</v>
      </c>
      <c r="AG714">
        <v>18</v>
      </c>
      <c r="AH714">
        <v>33</v>
      </c>
      <c r="AI714">
        <v>36</v>
      </c>
      <c r="AJ714">
        <v>0</v>
      </c>
      <c r="AK714">
        <v>5</v>
      </c>
      <c r="AL714" t="s">
        <v>451</v>
      </c>
      <c r="AM714" t="s">
        <v>214</v>
      </c>
      <c r="AN714" t="s">
        <v>452</v>
      </c>
      <c r="AO714" t="s">
        <v>8669</v>
      </c>
      <c r="AP714" t="s">
        <v>8670</v>
      </c>
      <c r="AQ714" t="s">
        <v>74</v>
      </c>
      <c r="AR714" t="s">
        <v>8671</v>
      </c>
      <c r="AS714" t="s">
        <v>8672</v>
      </c>
      <c r="AT714" t="s">
        <v>8263</v>
      </c>
      <c r="AU714">
        <v>1997</v>
      </c>
      <c r="AV714">
        <v>34</v>
      </c>
      <c r="AW714">
        <v>11</v>
      </c>
      <c r="AX714" t="s">
        <v>74</v>
      </c>
      <c r="AY714" t="s">
        <v>74</v>
      </c>
      <c r="AZ714" t="s">
        <v>74</v>
      </c>
      <c r="BA714" t="s">
        <v>74</v>
      </c>
      <c r="BB714">
        <v>908</v>
      </c>
      <c r="BC714">
        <v>912</v>
      </c>
      <c r="BD714" t="s">
        <v>74</v>
      </c>
      <c r="BE714" t="s">
        <v>8673</v>
      </c>
      <c r="BF714" t="str">
        <f>HYPERLINK("http://dx.doi.org/10.1016/S0025-326X(97)00050-7","http://dx.doi.org/10.1016/S0025-326X(97)00050-7")</f>
        <v>http://dx.doi.org/10.1016/S0025-326X(97)00050-7</v>
      </c>
      <c r="BG714" t="s">
        <v>74</v>
      </c>
      <c r="BH714" t="s">
        <v>74</v>
      </c>
      <c r="BI714">
        <v>5</v>
      </c>
      <c r="BJ714" t="s">
        <v>8674</v>
      </c>
      <c r="BK714" t="s">
        <v>98</v>
      </c>
      <c r="BL714" t="s">
        <v>7877</v>
      </c>
      <c r="BM714" t="s">
        <v>8675</v>
      </c>
      <c r="BN714" t="s">
        <v>74</v>
      </c>
      <c r="BO714" t="s">
        <v>74</v>
      </c>
      <c r="BP714" t="s">
        <v>74</v>
      </c>
      <c r="BQ714" t="s">
        <v>74</v>
      </c>
      <c r="BR714" t="s">
        <v>101</v>
      </c>
      <c r="BS714" t="s">
        <v>8676</v>
      </c>
      <c r="BT714" t="str">
        <f>HYPERLINK("https%3A%2F%2Fwww.webofscience.com%2Fwos%2Fwoscc%2Ffull-record%2FWOS:000071533600021","View Full Record in Web of Science")</f>
        <v>View Full Record in Web of Science</v>
      </c>
    </row>
    <row r="715" spans="1:72" x14ac:dyDescent="0.15">
      <c r="A715" t="s">
        <v>72</v>
      </c>
      <c r="B715" t="s">
        <v>8677</v>
      </c>
      <c r="C715" t="s">
        <v>74</v>
      </c>
      <c r="D715" t="s">
        <v>74</v>
      </c>
      <c r="E715" t="s">
        <v>74</v>
      </c>
      <c r="F715" t="s">
        <v>8677</v>
      </c>
      <c r="G715" t="s">
        <v>74</v>
      </c>
      <c r="H715" t="s">
        <v>74</v>
      </c>
      <c r="I715" t="s">
        <v>8678</v>
      </c>
      <c r="J715" t="s">
        <v>784</v>
      </c>
      <c r="K715" t="s">
        <v>74</v>
      </c>
      <c r="L715" t="s">
        <v>74</v>
      </c>
      <c r="M715" t="s">
        <v>77</v>
      </c>
      <c r="N715" t="s">
        <v>78</v>
      </c>
      <c r="O715" t="s">
        <v>74</v>
      </c>
      <c r="P715" t="s">
        <v>74</v>
      </c>
      <c r="Q715" t="s">
        <v>74</v>
      </c>
      <c r="R715" t="s">
        <v>74</v>
      </c>
      <c r="S715" t="s">
        <v>74</v>
      </c>
      <c r="T715" t="s">
        <v>74</v>
      </c>
      <c r="U715" t="s">
        <v>8679</v>
      </c>
      <c r="V715" t="s">
        <v>8680</v>
      </c>
      <c r="W715" t="s">
        <v>8681</v>
      </c>
      <c r="X715" t="s">
        <v>8682</v>
      </c>
      <c r="Y715" t="s">
        <v>74</v>
      </c>
      <c r="Z715" t="s">
        <v>74</v>
      </c>
      <c r="AA715" t="s">
        <v>8683</v>
      </c>
      <c r="AB715" t="s">
        <v>8684</v>
      </c>
      <c r="AC715" t="s">
        <v>74</v>
      </c>
      <c r="AD715" t="s">
        <v>74</v>
      </c>
      <c r="AE715" t="s">
        <v>74</v>
      </c>
      <c r="AF715" t="s">
        <v>74</v>
      </c>
      <c r="AG715">
        <v>29</v>
      </c>
      <c r="AH715">
        <v>39</v>
      </c>
      <c r="AI715">
        <v>44</v>
      </c>
      <c r="AJ715">
        <v>0</v>
      </c>
      <c r="AK715">
        <v>2</v>
      </c>
      <c r="AL715" t="s">
        <v>793</v>
      </c>
      <c r="AM715" t="s">
        <v>794</v>
      </c>
      <c r="AN715" t="s">
        <v>8685</v>
      </c>
      <c r="AO715" t="s">
        <v>796</v>
      </c>
      <c r="AP715" t="s">
        <v>74</v>
      </c>
      <c r="AQ715" t="s">
        <v>74</v>
      </c>
      <c r="AR715" t="s">
        <v>797</v>
      </c>
      <c r="AS715" t="s">
        <v>798</v>
      </c>
      <c r="AT715" t="s">
        <v>8263</v>
      </c>
      <c r="AU715">
        <v>1997</v>
      </c>
      <c r="AV715">
        <v>32</v>
      </c>
      <c r="AW715">
        <v>6</v>
      </c>
      <c r="AX715" t="s">
        <v>74</v>
      </c>
      <c r="AY715" t="s">
        <v>74</v>
      </c>
      <c r="AZ715" t="s">
        <v>74</v>
      </c>
      <c r="BA715" t="s">
        <v>74</v>
      </c>
      <c r="BB715">
        <v>769</v>
      </c>
      <c r="BC715">
        <v>773</v>
      </c>
      <c r="BD715" t="s">
        <v>74</v>
      </c>
      <c r="BE715" t="s">
        <v>8686</v>
      </c>
      <c r="BF715" t="str">
        <f>HYPERLINK("http://dx.doi.org/10.1111/j.1945-5100.1997.tb01567.x","http://dx.doi.org/10.1111/j.1945-5100.1997.tb01567.x")</f>
        <v>http://dx.doi.org/10.1111/j.1945-5100.1997.tb01567.x</v>
      </c>
      <c r="BG715" t="s">
        <v>74</v>
      </c>
      <c r="BH715" t="s">
        <v>74</v>
      </c>
      <c r="BI715">
        <v>5</v>
      </c>
      <c r="BJ715" t="s">
        <v>143</v>
      </c>
      <c r="BK715" t="s">
        <v>98</v>
      </c>
      <c r="BL715" t="s">
        <v>143</v>
      </c>
      <c r="BM715" t="s">
        <v>8687</v>
      </c>
      <c r="BN715" t="s">
        <v>74</v>
      </c>
      <c r="BO715" t="s">
        <v>100</v>
      </c>
      <c r="BP715" t="s">
        <v>74</v>
      </c>
      <c r="BQ715" t="s">
        <v>74</v>
      </c>
      <c r="BR715" t="s">
        <v>101</v>
      </c>
      <c r="BS715" t="s">
        <v>8688</v>
      </c>
      <c r="BT715" t="str">
        <f>HYPERLINK("https%3A%2F%2Fwww.webofscience.com%2Fwos%2Fwoscc%2Ffull-record%2FWOS:A1997YG98100007","View Full Record in Web of Science")</f>
        <v>View Full Record in Web of Science</v>
      </c>
    </row>
    <row r="716" spans="1:72" x14ac:dyDescent="0.15">
      <c r="A716" t="s">
        <v>72</v>
      </c>
      <c r="B716" t="s">
        <v>8689</v>
      </c>
      <c r="C716" t="s">
        <v>74</v>
      </c>
      <c r="D716" t="s">
        <v>74</v>
      </c>
      <c r="E716" t="s">
        <v>74</v>
      </c>
      <c r="F716" t="s">
        <v>8689</v>
      </c>
      <c r="G716" t="s">
        <v>74</v>
      </c>
      <c r="H716" t="s">
        <v>74</v>
      </c>
      <c r="I716" t="s">
        <v>8690</v>
      </c>
      <c r="J716" t="s">
        <v>784</v>
      </c>
      <c r="K716" t="s">
        <v>74</v>
      </c>
      <c r="L716" t="s">
        <v>74</v>
      </c>
      <c r="M716" t="s">
        <v>77</v>
      </c>
      <c r="N716" t="s">
        <v>78</v>
      </c>
      <c r="O716" t="s">
        <v>74</v>
      </c>
      <c r="P716" t="s">
        <v>74</v>
      </c>
      <c r="Q716" t="s">
        <v>74</v>
      </c>
      <c r="R716" t="s">
        <v>74</v>
      </c>
      <c r="S716" t="s">
        <v>74</v>
      </c>
      <c r="T716" t="s">
        <v>74</v>
      </c>
      <c r="U716" t="s">
        <v>8691</v>
      </c>
      <c r="V716" t="s">
        <v>8692</v>
      </c>
      <c r="W716" t="s">
        <v>8693</v>
      </c>
      <c r="X716" t="s">
        <v>8694</v>
      </c>
      <c r="Y716" t="s">
        <v>74</v>
      </c>
      <c r="Z716" t="s">
        <v>74</v>
      </c>
      <c r="AA716" t="s">
        <v>8695</v>
      </c>
      <c r="AB716" t="s">
        <v>8696</v>
      </c>
      <c r="AC716" t="s">
        <v>74</v>
      </c>
      <c r="AD716" t="s">
        <v>74</v>
      </c>
      <c r="AE716" t="s">
        <v>74</v>
      </c>
      <c r="AF716" t="s">
        <v>74</v>
      </c>
      <c r="AG716">
        <v>37</v>
      </c>
      <c r="AH716">
        <v>37</v>
      </c>
      <c r="AI716">
        <v>42</v>
      </c>
      <c r="AJ716">
        <v>0</v>
      </c>
      <c r="AK716">
        <v>5</v>
      </c>
      <c r="AL716" t="s">
        <v>877</v>
      </c>
      <c r="AM716" t="s">
        <v>826</v>
      </c>
      <c r="AN716" t="s">
        <v>827</v>
      </c>
      <c r="AO716" t="s">
        <v>815</v>
      </c>
      <c r="AP716" t="s">
        <v>828</v>
      </c>
      <c r="AQ716" t="s">
        <v>74</v>
      </c>
      <c r="AR716" t="s">
        <v>797</v>
      </c>
      <c r="AS716" t="s">
        <v>798</v>
      </c>
      <c r="AT716" t="s">
        <v>8263</v>
      </c>
      <c r="AU716">
        <v>1997</v>
      </c>
      <c r="AV716">
        <v>32</v>
      </c>
      <c r="AW716">
        <v>6</v>
      </c>
      <c r="AX716" t="s">
        <v>74</v>
      </c>
      <c r="AY716" t="s">
        <v>74</v>
      </c>
      <c r="AZ716" t="s">
        <v>74</v>
      </c>
      <c r="BA716" t="s">
        <v>74</v>
      </c>
      <c r="BB716">
        <v>775</v>
      </c>
      <c r="BC716">
        <v>780</v>
      </c>
      <c r="BD716" t="s">
        <v>74</v>
      </c>
      <c r="BE716" t="s">
        <v>8697</v>
      </c>
      <c r="BF716" t="str">
        <f>HYPERLINK("http://dx.doi.org/10.1111/j.1945-5100.1997.tb01568.x","http://dx.doi.org/10.1111/j.1945-5100.1997.tb01568.x")</f>
        <v>http://dx.doi.org/10.1111/j.1945-5100.1997.tb01568.x</v>
      </c>
      <c r="BG716" t="s">
        <v>74</v>
      </c>
      <c r="BH716" t="s">
        <v>74</v>
      </c>
      <c r="BI716">
        <v>6</v>
      </c>
      <c r="BJ716" t="s">
        <v>143</v>
      </c>
      <c r="BK716" t="s">
        <v>98</v>
      </c>
      <c r="BL716" t="s">
        <v>143</v>
      </c>
      <c r="BM716" t="s">
        <v>8687</v>
      </c>
      <c r="BN716" t="s">
        <v>74</v>
      </c>
      <c r="BO716" t="s">
        <v>100</v>
      </c>
      <c r="BP716" t="s">
        <v>74</v>
      </c>
      <c r="BQ716" t="s">
        <v>74</v>
      </c>
      <c r="BR716" t="s">
        <v>101</v>
      </c>
      <c r="BS716" t="s">
        <v>8698</v>
      </c>
      <c r="BT716" t="str">
        <f>HYPERLINK("https%3A%2F%2Fwww.webofscience.com%2Fwos%2Fwoscc%2Ffull-record%2FWOS:A1997YG98100008","View Full Record in Web of Science")</f>
        <v>View Full Record in Web of Science</v>
      </c>
    </row>
    <row r="717" spans="1:72" x14ac:dyDescent="0.15">
      <c r="A717" t="s">
        <v>72</v>
      </c>
      <c r="B717" t="s">
        <v>8699</v>
      </c>
      <c r="C717" t="s">
        <v>74</v>
      </c>
      <c r="D717" t="s">
        <v>74</v>
      </c>
      <c r="E717" t="s">
        <v>74</v>
      </c>
      <c r="F717" t="s">
        <v>8699</v>
      </c>
      <c r="G717" t="s">
        <v>74</v>
      </c>
      <c r="H717" t="s">
        <v>74</v>
      </c>
      <c r="I717" t="s">
        <v>8700</v>
      </c>
      <c r="J717" t="s">
        <v>784</v>
      </c>
      <c r="K717" t="s">
        <v>74</v>
      </c>
      <c r="L717" t="s">
        <v>74</v>
      </c>
      <c r="M717" t="s">
        <v>77</v>
      </c>
      <c r="N717" t="s">
        <v>78</v>
      </c>
      <c r="O717" t="s">
        <v>74</v>
      </c>
      <c r="P717" t="s">
        <v>74</v>
      </c>
      <c r="Q717" t="s">
        <v>74</v>
      </c>
      <c r="R717" t="s">
        <v>74</v>
      </c>
      <c r="S717" t="s">
        <v>74</v>
      </c>
      <c r="T717" t="s">
        <v>74</v>
      </c>
      <c r="U717" t="s">
        <v>8701</v>
      </c>
      <c r="V717" t="s">
        <v>8702</v>
      </c>
      <c r="W717" t="s">
        <v>8703</v>
      </c>
      <c r="X717" t="s">
        <v>8704</v>
      </c>
      <c r="Y717" t="s">
        <v>8705</v>
      </c>
      <c r="Z717" t="s">
        <v>74</v>
      </c>
      <c r="AA717" t="s">
        <v>74</v>
      </c>
      <c r="AB717" t="s">
        <v>74</v>
      </c>
      <c r="AC717" t="s">
        <v>74</v>
      </c>
      <c r="AD717" t="s">
        <v>74</v>
      </c>
      <c r="AE717" t="s">
        <v>74</v>
      </c>
      <c r="AF717" t="s">
        <v>74</v>
      </c>
      <c r="AG717">
        <v>86</v>
      </c>
      <c r="AH717">
        <v>89</v>
      </c>
      <c r="AI717">
        <v>101</v>
      </c>
      <c r="AJ717">
        <v>0</v>
      </c>
      <c r="AK717">
        <v>30</v>
      </c>
      <c r="AL717" t="s">
        <v>793</v>
      </c>
      <c r="AM717" t="s">
        <v>794</v>
      </c>
      <c r="AN717" t="s">
        <v>8685</v>
      </c>
      <c r="AO717" t="s">
        <v>796</v>
      </c>
      <c r="AP717" t="s">
        <v>74</v>
      </c>
      <c r="AQ717" t="s">
        <v>74</v>
      </c>
      <c r="AR717" t="s">
        <v>797</v>
      </c>
      <c r="AS717" t="s">
        <v>798</v>
      </c>
      <c r="AT717" t="s">
        <v>8263</v>
      </c>
      <c r="AU717">
        <v>1997</v>
      </c>
      <c r="AV717">
        <v>32</v>
      </c>
      <c r="AW717">
        <v>6</v>
      </c>
      <c r="AX717" t="s">
        <v>74</v>
      </c>
      <c r="AY717" t="s">
        <v>74</v>
      </c>
      <c r="AZ717" t="s">
        <v>74</v>
      </c>
      <c r="BA717" t="s">
        <v>74</v>
      </c>
      <c r="BB717">
        <v>841</v>
      </c>
      <c r="BC717">
        <v>853</v>
      </c>
      <c r="BD717" t="s">
        <v>74</v>
      </c>
      <c r="BE717" t="s">
        <v>8706</v>
      </c>
      <c r="BF717" t="str">
        <f>HYPERLINK("http://dx.doi.org/10.1111/j.1945-5100.1997.tb01574.x","http://dx.doi.org/10.1111/j.1945-5100.1997.tb01574.x")</f>
        <v>http://dx.doi.org/10.1111/j.1945-5100.1997.tb01574.x</v>
      </c>
      <c r="BG717" t="s">
        <v>74</v>
      </c>
      <c r="BH717" t="s">
        <v>74</v>
      </c>
      <c r="BI717">
        <v>13</v>
      </c>
      <c r="BJ717" t="s">
        <v>143</v>
      </c>
      <c r="BK717" t="s">
        <v>98</v>
      </c>
      <c r="BL717" t="s">
        <v>143</v>
      </c>
      <c r="BM717" t="s">
        <v>8687</v>
      </c>
      <c r="BN717" t="s">
        <v>74</v>
      </c>
      <c r="BO717" t="s">
        <v>100</v>
      </c>
      <c r="BP717" t="s">
        <v>74</v>
      </c>
      <c r="BQ717" t="s">
        <v>74</v>
      </c>
      <c r="BR717" t="s">
        <v>101</v>
      </c>
      <c r="BS717" t="s">
        <v>8707</v>
      </c>
      <c r="BT717" t="str">
        <f>HYPERLINK("https%3A%2F%2Fwww.webofscience.com%2Fwos%2Fwoscc%2Ffull-record%2FWOS:A1997YG98100014","View Full Record in Web of Science")</f>
        <v>View Full Record in Web of Science</v>
      </c>
    </row>
    <row r="718" spans="1:72" x14ac:dyDescent="0.15">
      <c r="A718" t="s">
        <v>72</v>
      </c>
      <c r="B718" t="s">
        <v>8708</v>
      </c>
      <c r="C718" t="s">
        <v>74</v>
      </c>
      <c r="D718" t="s">
        <v>74</v>
      </c>
      <c r="E718" t="s">
        <v>74</v>
      </c>
      <c r="F718" t="s">
        <v>8708</v>
      </c>
      <c r="G718" t="s">
        <v>74</v>
      </c>
      <c r="H718" t="s">
        <v>74</v>
      </c>
      <c r="I718" t="s">
        <v>8709</v>
      </c>
      <c r="J718" t="s">
        <v>784</v>
      </c>
      <c r="K718" t="s">
        <v>74</v>
      </c>
      <c r="L718" t="s">
        <v>74</v>
      </c>
      <c r="M718" t="s">
        <v>77</v>
      </c>
      <c r="N718" t="s">
        <v>78</v>
      </c>
      <c r="O718" t="s">
        <v>74</v>
      </c>
      <c r="P718" t="s">
        <v>74</v>
      </c>
      <c r="Q718" t="s">
        <v>74</v>
      </c>
      <c r="R718" t="s">
        <v>74</v>
      </c>
      <c r="S718" t="s">
        <v>74</v>
      </c>
      <c r="T718" t="s">
        <v>74</v>
      </c>
      <c r="U718" t="s">
        <v>8710</v>
      </c>
      <c r="V718" t="s">
        <v>8711</v>
      </c>
      <c r="W718" t="s">
        <v>8712</v>
      </c>
      <c r="X718" t="s">
        <v>8694</v>
      </c>
      <c r="Y718" t="s">
        <v>74</v>
      </c>
      <c r="Z718" t="s">
        <v>74</v>
      </c>
      <c r="AA718" t="s">
        <v>8713</v>
      </c>
      <c r="AB718" t="s">
        <v>8696</v>
      </c>
      <c r="AC718" t="s">
        <v>74</v>
      </c>
      <c r="AD718" t="s">
        <v>74</v>
      </c>
      <c r="AE718" t="s">
        <v>74</v>
      </c>
      <c r="AF718" t="s">
        <v>74</v>
      </c>
      <c r="AG718">
        <v>61</v>
      </c>
      <c r="AH718">
        <v>63</v>
      </c>
      <c r="AI718">
        <v>66</v>
      </c>
      <c r="AJ718">
        <v>0</v>
      </c>
      <c r="AK718">
        <v>9</v>
      </c>
      <c r="AL718" t="s">
        <v>793</v>
      </c>
      <c r="AM718" t="s">
        <v>794</v>
      </c>
      <c r="AN718" t="s">
        <v>8685</v>
      </c>
      <c r="AO718" t="s">
        <v>796</v>
      </c>
      <c r="AP718" t="s">
        <v>74</v>
      </c>
      <c r="AQ718" t="s">
        <v>74</v>
      </c>
      <c r="AR718" t="s">
        <v>797</v>
      </c>
      <c r="AS718" t="s">
        <v>798</v>
      </c>
      <c r="AT718" t="s">
        <v>8263</v>
      </c>
      <c r="AU718">
        <v>1997</v>
      </c>
      <c r="AV718">
        <v>32</v>
      </c>
      <c r="AW718">
        <v>6</v>
      </c>
      <c r="AX718" t="s">
        <v>74</v>
      </c>
      <c r="AY718" t="s">
        <v>74</v>
      </c>
      <c r="AZ718" t="s">
        <v>74</v>
      </c>
      <c r="BA718" t="s">
        <v>74</v>
      </c>
      <c r="BB718">
        <v>891</v>
      </c>
      <c r="BC718">
        <v>902</v>
      </c>
      <c r="BD718" t="s">
        <v>74</v>
      </c>
      <c r="BE718" t="s">
        <v>8714</v>
      </c>
      <c r="BF718" t="str">
        <f>HYPERLINK("http://dx.doi.org/10.1111/j.1945-5100.1997.tb01579.x","http://dx.doi.org/10.1111/j.1945-5100.1997.tb01579.x")</f>
        <v>http://dx.doi.org/10.1111/j.1945-5100.1997.tb01579.x</v>
      </c>
      <c r="BG718" t="s">
        <v>74</v>
      </c>
      <c r="BH718" t="s">
        <v>74</v>
      </c>
      <c r="BI718">
        <v>12</v>
      </c>
      <c r="BJ718" t="s">
        <v>143</v>
      </c>
      <c r="BK718" t="s">
        <v>98</v>
      </c>
      <c r="BL718" t="s">
        <v>143</v>
      </c>
      <c r="BM718" t="s">
        <v>8687</v>
      </c>
      <c r="BN718" t="s">
        <v>74</v>
      </c>
      <c r="BO718" t="s">
        <v>74</v>
      </c>
      <c r="BP718" t="s">
        <v>74</v>
      </c>
      <c r="BQ718" t="s">
        <v>74</v>
      </c>
      <c r="BR718" t="s">
        <v>101</v>
      </c>
      <c r="BS718" t="s">
        <v>8715</v>
      </c>
      <c r="BT718" t="str">
        <f>HYPERLINK("https%3A%2F%2Fwww.webofscience.com%2Fwos%2Fwoscc%2Ffull-record%2FWOS:A1997YG98100019","View Full Record in Web of Science")</f>
        <v>View Full Record in Web of Science</v>
      </c>
    </row>
    <row r="719" spans="1:72" x14ac:dyDescent="0.15">
      <c r="A719" t="s">
        <v>72</v>
      </c>
      <c r="B719" t="s">
        <v>8716</v>
      </c>
      <c r="C719" t="s">
        <v>74</v>
      </c>
      <c r="D719" t="s">
        <v>74</v>
      </c>
      <c r="E719" t="s">
        <v>74</v>
      </c>
      <c r="F719" t="s">
        <v>8716</v>
      </c>
      <c r="G719" t="s">
        <v>74</v>
      </c>
      <c r="H719" t="s">
        <v>74</v>
      </c>
      <c r="I719" t="s">
        <v>8717</v>
      </c>
      <c r="J719" t="s">
        <v>8718</v>
      </c>
      <c r="K719" t="s">
        <v>74</v>
      </c>
      <c r="L719" t="s">
        <v>74</v>
      </c>
      <c r="M719" t="s">
        <v>77</v>
      </c>
      <c r="N719" t="s">
        <v>379</v>
      </c>
      <c r="O719" t="s">
        <v>8719</v>
      </c>
      <c r="P719" t="s">
        <v>8720</v>
      </c>
      <c r="Q719" t="s">
        <v>8721</v>
      </c>
      <c r="R719" t="s">
        <v>74</v>
      </c>
      <c r="S719" t="s">
        <v>74</v>
      </c>
      <c r="T719" t="s">
        <v>74</v>
      </c>
      <c r="U719" t="s">
        <v>8722</v>
      </c>
      <c r="V719" t="s">
        <v>8723</v>
      </c>
      <c r="W719" t="s">
        <v>8724</v>
      </c>
      <c r="X719" t="s">
        <v>8725</v>
      </c>
      <c r="Y719" t="s">
        <v>8726</v>
      </c>
      <c r="Z719" t="s">
        <v>74</v>
      </c>
      <c r="AA719" t="s">
        <v>74</v>
      </c>
      <c r="AB719" t="s">
        <v>74</v>
      </c>
      <c r="AC719" t="s">
        <v>74</v>
      </c>
      <c r="AD719" t="s">
        <v>74</v>
      </c>
      <c r="AE719" t="s">
        <v>74</v>
      </c>
      <c r="AF719" t="s">
        <v>74</v>
      </c>
      <c r="AG719">
        <v>18</v>
      </c>
      <c r="AH719">
        <v>9</v>
      </c>
      <c r="AI719">
        <v>9</v>
      </c>
      <c r="AJ719">
        <v>0</v>
      </c>
      <c r="AK719">
        <v>0</v>
      </c>
      <c r="AL719" t="s">
        <v>8727</v>
      </c>
      <c r="AM719" t="s">
        <v>2226</v>
      </c>
      <c r="AN719" t="s">
        <v>8728</v>
      </c>
      <c r="AO719" t="s">
        <v>8729</v>
      </c>
      <c r="AP719" t="s">
        <v>74</v>
      </c>
      <c r="AQ719" t="s">
        <v>74</v>
      </c>
      <c r="AR719" t="s">
        <v>8730</v>
      </c>
      <c r="AS719" t="s">
        <v>8731</v>
      </c>
      <c r="AT719" t="s">
        <v>8371</v>
      </c>
      <c r="AU719">
        <v>1997</v>
      </c>
      <c r="AV719">
        <v>20</v>
      </c>
      <c r="AW719">
        <v>6</v>
      </c>
      <c r="AX719" t="s">
        <v>74</v>
      </c>
      <c r="AY719" t="s">
        <v>74</v>
      </c>
      <c r="AZ719" t="s">
        <v>74</v>
      </c>
      <c r="BA719" t="s">
        <v>74</v>
      </c>
      <c r="BB719">
        <v>1027</v>
      </c>
      <c r="BC719">
        <v>1032</v>
      </c>
      <c r="BD719" t="s">
        <v>74</v>
      </c>
      <c r="BE719" t="s">
        <v>74</v>
      </c>
      <c r="BF719" t="s">
        <v>74</v>
      </c>
      <c r="BG719" t="s">
        <v>74</v>
      </c>
      <c r="BH719" t="s">
        <v>74</v>
      </c>
      <c r="BI719">
        <v>6</v>
      </c>
      <c r="BJ719" t="s">
        <v>74</v>
      </c>
      <c r="BK719" t="s">
        <v>3943</v>
      </c>
      <c r="BL719" t="s">
        <v>74</v>
      </c>
      <c r="BM719" t="s">
        <v>8732</v>
      </c>
      <c r="BN719" t="s">
        <v>74</v>
      </c>
      <c r="BO719" t="s">
        <v>74</v>
      </c>
      <c r="BP719" t="s">
        <v>74</v>
      </c>
      <c r="BQ719" t="s">
        <v>74</v>
      </c>
      <c r="BR719" t="s">
        <v>101</v>
      </c>
      <c r="BS719" t="s">
        <v>8733</v>
      </c>
      <c r="BT719" t="str">
        <f>HYPERLINK("https%3A%2F%2Fwww.webofscience.com%2Fwos%2Fwoscc%2Ffull-record%2FWOS:000072934700020","View Full Record in Web of Science")</f>
        <v>View Full Record in Web of Science</v>
      </c>
    </row>
    <row r="720" spans="1:72" x14ac:dyDescent="0.15">
      <c r="A720" t="s">
        <v>72</v>
      </c>
      <c r="B720" t="s">
        <v>8734</v>
      </c>
      <c r="C720" t="s">
        <v>74</v>
      </c>
      <c r="D720" t="s">
        <v>74</v>
      </c>
      <c r="E720" t="s">
        <v>74</v>
      </c>
      <c r="F720" t="s">
        <v>8734</v>
      </c>
      <c r="G720" t="s">
        <v>74</v>
      </c>
      <c r="H720" t="s">
        <v>74</v>
      </c>
      <c r="I720" t="s">
        <v>8735</v>
      </c>
      <c r="J720" t="s">
        <v>8736</v>
      </c>
      <c r="K720" t="s">
        <v>74</v>
      </c>
      <c r="L720" t="s">
        <v>74</v>
      </c>
      <c r="M720" t="s">
        <v>77</v>
      </c>
      <c r="N720" t="s">
        <v>379</v>
      </c>
      <c r="O720" t="s">
        <v>8719</v>
      </c>
      <c r="P720" t="s">
        <v>8720</v>
      </c>
      <c r="Q720" t="s">
        <v>8721</v>
      </c>
      <c r="R720" t="s">
        <v>74</v>
      </c>
      <c r="S720" t="s">
        <v>74</v>
      </c>
      <c r="T720" t="s">
        <v>74</v>
      </c>
      <c r="U720" t="s">
        <v>74</v>
      </c>
      <c r="V720" t="s">
        <v>8737</v>
      </c>
      <c r="W720" t="s">
        <v>8738</v>
      </c>
      <c r="X720" t="s">
        <v>2457</v>
      </c>
      <c r="Y720" t="s">
        <v>8739</v>
      </c>
      <c r="Z720" t="s">
        <v>74</v>
      </c>
      <c r="AA720" t="s">
        <v>74</v>
      </c>
      <c r="AB720" t="s">
        <v>8740</v>
      </c>
      <c r="AC720" t="s">
        <v>74</v>
      </c>
      <c r="AD720" t="s">
        <v>74</v>
      </c>
      <c r="AE720" t="s">
        <v>74</v>
      </c>
      <c r="AF720" t="s">
        <v>74</v>
      </c>
      <c r="AG720">
        <v>5</v>
      </c>
      <c r="AH720">
        <v>0</v>
      </c>
      <c r="AI720">
        <v>0</v>
      </c>
      <c r="AJ720">
        <v>0</v>
      </c>
      <c r="AK720">
        <v>1</v>
      </c>
      <c r="AL720" t="s">
        <v>8741</v>
      </c>
      <c r="AM720" t="s">
        <v>2226</v>
      </c>
      <c r="AN720" t="s">
        <v>8742</v>
      </c>
      <c r="AO720" t="s">
        <v>8743</v>
      </c>
      <c r="AP720" t="s">
        <v>74</v>
      </c>
      <c r="AQ720" t="s">
        <v>74</v>
      </c>
      <c r="AR720" t="s">
        <v>8730</v>
      </c>
      <c r="AS720" t="s">
        <v>8744</v>
      </c>
      <c r="AT720" t="s">
        <v>8371</v>
      </c>
      <c r="AU720">
        <v>1997</v>
      </c>
      <c r="AV720">
        <v>20</v>
      </c>
      <c r="AW720">
        <v>6</v>
      </c>
      <c r="AX720" t="s">
        <v>74</v>
      </c>
      <c r="AY720" t="s">
        <v>74</v>
      </c>
      <c r="AZ720" t="s">
        <v>74</v>
      </c>
      <c r="BA720" t="s">
        <v>74</v>
      </c>
      <c r="BB720">
        <v>973</v>
      </c>
      <c r="BC720">
        <v>976</v>
      </c>
      <c r="BD720" t="s">
        <v>74</v>
      </c>
      <c r="BE720" t="s">
        <v>74</v>
      </c>
      <c r="BF720" t="s">
        <v>74</v>
      </c>
      <c r="BG720" t="s">
        <v>74</v>
      </c>
      <c r="BH720" t="s">
        <v>74</v>
      </c>
      <c r="BI720">
        <v>4</v>
      </c>
      <c r="BJ720" t="s">
        <v>74</v>
      </c>
      <c r="BK720" t="s">
        <v>397</v>
      </c>
      <c r="BL720" t="s">
        <v>74</v>
      </c>
      <c r="BM720" t="s">
        <v>8732</v>
      </c>
      <c r="BN720" t="s">
        <v>74</v>
      </c>
      <c r="BO720" t="s">
        <v>74</v>
      </c>
      <c r="BP720" t="s">
        <v>74</v>
      </c>
      <c r="BQ720" t="s">
        <v>74</v>
      </c>
      <c r="BR720" t="s">
        <v>101</v>
      </c>
      <c r="BS720" t="s">
        <v>8745</v>
      </c>
      <c r="BT720" t="str">
        <f>HYPERLINK("https%3A%2F%2Fwww.webofscience.com%2Fwos%2Fwoscc%2Ffull-record%2FWOS:000072934700015","View Full Record in Web of Science")</f>
        <v>View Full Record in Web of Science</v>
      </c>
    </row>
    <row r="721" spans="1:72" x14ac:dyDescent="0.15">
      <c r="A721" t="s">
        <v>72</v>
      </c>
      <c r="B721" t="s">
        <v>8746</v>
      </c>
      <c r="C721" t="s">
        <v>74</v>
      </c>
      <c r="D721" t="s">
        <v>74</v>
      </c>
      <c r="E721" t="s">
        <v>74</v>
      </c>
      <c r="F721" t="s">
        <v>8746</v>
      </c>
      <c r="G721" t="s">
        <v>74</v>
      </c>
      <c r="H721" t="s">
        <v>74</v>
      </c>
      <c r="I721" t="s">
        <v>8747</v>
      </c>
      <c r="J721" t="s">
        <v>8748</v>
      </c>
      <c r="K721" t="s">
        <v>74</v>
      </c>
      <c r="L721" t="s">
        <v>74</v>
      </c>
      <c r="M721" t="s">
        <v>4428</v>
      </c>
      <c r="N721" t="s">
        <v>78</v>
      </c>
      <c r="O721" t="s">
        <v>74</v>
      </c>
      <c r="P721" t="s">
        <v>74</v>
      </c>
      <c r="Q721" t="s">
        <v>74</v>
      </c>
      <c r="R721" t="s">
        <v>74</v>
      </c>
      <c r="S721" t="s">
        <v>74</v>
      </c>
      <c r="T721" t="s">
        <v>74</v>
      </c>
      <c r="U721" t="s">
        <v>8749</v>
      </c>
      <c r="V721" t="s">
        <v>8750</v>
      </c>
      <c r="W721" t="s">
        <v>8751</v>
      </c>
      <c r="X721" t="s">
        <v>8752</v>
      </c>
      <c r="Y721" t="s">
        <v>8753</v>
      </c>
      <c r="Z721" t="s">
        <v>74</v>
      </c>
      <c r="AA721" t="s">
        <v>74</v>
      </c>
      <c r="AB721" t="s">
        <v>74</v>
      </c>
      <c r="AC721" t="s">
        <v>74</v>
      </c>
      <c r="AD721" t="s">
        <v>74</v>
      </c>
      <c r="AE721" t="s">
        <v>74</v>
      </c>
      <c r="AF721" t="s">
        <v>74</v>
      </c>
      <c r="AG721">
        <v>19</v>
      </c>
      <c r="AH721">
        <v>1</v>
      </c>
      <c r="AI721">
        <v>2</v>
      </c>
      <c r="AJ721">
        <v>0</v>
      </c>
      <c r="AK721">
        <v>0</v>
      </c>
      <c r="AL721" t="s">
        <v>4431</v>
      </c>
      <c r="AM721" t="s">
        <v>4432</v>
      </c>
      <c r="AN721" t="s">
        <v>4433</v>
      </c>
      <c r="AO721" t="s">
        <v>8754</v>
      </c>
      <c r="AP721" t="s">
        <v>74</v>
      </c>
      <c r="AQ721" t="s">
        <v>74</v>
      </c>
      <c r="AR721" t="s">
        <v>8755</v>
      </c>
      <c r="AS721" t="s">
        <v>8756</v>
      </c>
      <c r="AT721" t="s">
        <v>8371</v>
      </c>
      <c r="AU721">
        <v>1997</v>
      </c>
      <c r="AV721">
        <v>37</v>
      </c>
      <c r="AW721">
        <v>6</v>
      </c>
      <c r="AX721" t="s">
        <v>74</v>
      </c>
      <c r="AY721" t="s">
        <v>74</v>
      </c>
      <c r="AZ721" t="s">
        <v>74</v>
      </c>
      <c r="BA721" t="s">
        <v>74</v>
      </c>
      <c r="BB721">
        <v>832</v>
      </c>
      <c r="BC721">
        <v>841</v>
      </c>
      <c r="BD721" t="s">
        <v>74</v>
      </c>
      <c r="BE721" t="s">
        <v>74</v>
      </c>
      <c r="BF721" t="s">
        <v>74</v>
      </c>
      <c r="BG721" t="s">
        <v>74</v>
      </c>
      <c r="BH721" t="s">
        <v>74</v>
      </c>
      <c r="BI721">
        <v>10</v>
      </c>
      <c r="BJ721" t="s">
        <v>97</v>
      </c>
      <c r="BK721" t="s">
        <v>98</v>
      </c>
      <c r="BL721" t="s">
        <v>97</v>
      </c>
      <c r="BM721" t="s">
        <v>8757</v>
      </c>
      <c r="BN721" t="s">
        <v>74</v>
      </c>
      <c r="BO721" t="s">
        <v>74</v>
      </c>
      <c r="BP721" t="s">
        <v>74</v>
      </c>
      <c r="BQ721" t="s">
        <v>74</v>
      </c>
      <c r="BR721" t="s">
        <v>101</v>
      </c>
      <c r="BS721" t="s">
        <v>8758</v>
      </c>
      <c r="BT721" t="str">
        <f>HYPERLINK("https%3A%2F%2Fwww.webofscience.com%2Fwos%2Fwoscc%2Ffull-record%2FWOS:000071582600004","View Full Record in Web of Science")</f>
        <v>View Full Record in Web of Science</v>
      </c>
    </row>
    <row r="722" spans="1:72" x14ac:dyDescent="0.15">
      <c r="A722" t="s">
        <v>72</v>
      </c>
      <c r="B722" t="s">
        <v>8759</v>
      </c>
      <c r="C722" t="s">
        <v>74</v>
      </c>
      <c r="D722" t="s">
        <v>74</v>
      </c>
      <c r="E722" t="s">
        <v>74</v>
      </c>
      <c r="F722" t="s">
        <v>8759</v>
      </c>
      <c r="G722" t="s">
        <v>74</v>
      </c>
      <c r="H722" t="s">
        <v>74</v>
      </c>
      <c r="I722" t="s">
        <v>8760</v>
      </c>
      <c r="J722" t="s">
        <v>8761</v>
      </c>
      <c r="K722" t="s">
        <v>74</v>
      </c>
      <c r="L722" t="s">
        <v>74</v>
      </c>
      <c r="M722" t="s">
        <v>77</v>
      </c>
      <c r="N722" t="s">
        <v>78</v>
      </c>
      <c r="O722" t="s">
        <v>74</v>
      </c>
      <c r="P722" t="s">
        <v>74</v>
      </c>
      <c r="Q722" t="s">
        <v>74</v>
      </c>
      <c r="R722" t="s">
        <v>74</v>
      </c>
      <c r="S722" t="s">
        <v>74</v>
      </c>
      <c r="T722" t="s">
        <v>74</v>
      </c>
      <c r="U722" t="s">
        <v>8762</v>
      </c>
      <c r="V722" t="s">
        <v>8763</v>
      </c>
      <c r="W722" t="s">
        <v>74</v>
      </c>
      <c r="X722" t="s">
        <v>74</v>
      </c>
      <c r="Y722" t="s">
        <v>8764</v>
      </c>
      <c r="Z722" t="s">
        <v>74</v>
      </c>
      <c r="AA722" t="s">
        <v>74</v>
      </c>
      <c r="AB722" t="s">
        <v>74</v>
      </c>
      <c r="AC722" t="s">
        <v>74</v>
      </c>
      <c r="AD722" t="s">
        <v>74</v>
      </c>
      <c r="AE722" t="s">
        <v>74</v>
      </c>
      <c r="AF722" t="s">
        <v>74</v>
      </c>
      <c r="AG722">
        <v>62</v>
      </c>
      <c r="AH722">
        <v>34</v>
      </c>
      <c r="AI722">
        <v>35</v>
      </c>
      <c r="AJ722">
        <v>0</v>
      </c>
      <c r="AK722">
        <v>11</v>
      </c>
      <c r="AL722" t="s">
        <v>1340</v>
      </c>
      <c r="AM722" t="s">
        <v>1341</v>
      </c>
      <c r="AN722" t="s">
        <v>1342</v>
      </c>
      <c r="AO722" t="s">
        <v>8765</v>
      </c>
      <c r="AP722" t="s">
        <v>74</v>
      </c>
      <c r="AQ722" t="s">
        <v>74</v>
      </c>
      <c r="AR722" t="s">
        <v>8766</v>
      </c>
      <c r="AS722" t="s">
        <v>8767</v>
      </c>
      <c r="AT722" t="s">
        <v>8371</v>
      </c>
      <c r="AU722">
        <v>1997</v>
      </c>
      <c r="AV722">
        <v>70</v>
      </c>
      <c r="AW722">
        <v>6</v>
      </c>
      <c r="AX722" t="s">
        <v>74</v>
      </c>
      <c r="AY722" t="s">
        <v>74</v>
      </c>
      <c r="AZ722" t="s">
        <v>74</v>
      </c>
      <c r="BA722" t="s">
        <v>74</v>
      </c>
      <c r="BB722">
        <v>639</v>
      </c>
      <c r="BC722">
        <v>649</v>
      </c>
      <c r="BD722" t="s">
        <v>74</v>
      </c>
      <c r="BE722" t="s">
        <v>8768</v>
      </c>
      <c r="BF722" t="str">
        <f>HYPERLINK("http://dx.doi.org/10.1086/515868","http://dx.doi.org/10.1086/515868")</f>
        <v>http://dx.doi.org/10.1086/515868</v>
      </c>
      <c r="BG722" t="s">
        <v>74</v>
      </c>
      <c r="BH722" t="s">
        <v>74</v>
      </c>
      <c r="BI722">
        <v>11</v>
      </c>
      <c r="BJ722" t="s">
        <v>8769</v>
      </c>
      <c r="BK722" t="s">
        <v>98</v>
      </c>
      <c r="BL722" t="s">
        <v>8769</v>
      </c>
      <c r="BM722" t="s">
        <v>8770</v>
      </c>
      <c r="BN722">
        <v>9361138</v>
      </c>
      <c r="BO722" t="s">
        <v>74</v>
      </c>
      <c r="BP722" t="s">
        <v>74</v>
      </c>
      <c r="BQ722" t="s">
        <v>74</v>
      </c>
      <c r="BR722" t="s">
        <v>101</v>
      </c>
      <c r="BS722" t="s">
        <v>8771</v>
      </c>
      <c r="BT722" t="str">
        <f>HYPERLINK("https%3A%2F%2Fwww.webofscience.com%2Fwos%2Fwoscc%2Ffull-record%2FWOS:A1997YF04000006","View Full Record in Web of Science")</f>
        <v>View Full Record in Web of Science</v>
      </c>
    </row>
    <row r="723" spans="1:72" x14ac:dyDescent="0.15">
      <c r="A723" t="s">
        <v>72</v>
      </c>
      <c r="B723" t="s">
        <v>8772</v>
      </c>
      <c r="C723" t="s">
        <v>74</v>
      </c>
      <c r="D723" t="s">
        <v>74</v>
      </c>
      <c r="E723" t="s">
        <v>74</v>
      </c>
      <c r="F723" t="s">
        <v>8772</v>
      </c>
      <c r="G723" t="s">
        <v>74</v>
      </c>
      <c r="H723" t="s">
        <v>74</v>
      </c>
      <c r="I723" t="s">
        <v>8773</v>
      </c>
      <c r="J723" t="s">
        <v>8761</v>
      </c>
      <c r="K723" t="s">
        <v>74</v>
      </c>
      <c r="L723" t="s">
        <v>74</v>
      </c>
      <c r="M723" t="s">
        <v>77</v>
      </c>
      <c r="N723" t="s">
        <v>78</v>
      </c>
      <c r="O723" t="s">
        <v>74</v>
      </c>
      <c r="P723" t="s">
        <v>74</v>
      </c>
      <c r="Q723" t="s">
        <v>74</v>
      </c>
      <c r="R723" t="s">
        <v>74</v>
      </c>
      <c r="S723" t="s">
        <v>74</v>
      </c>
      <c r="T723" t="s">
        <v>74</v>
      </c>
      <c r="U723" t="s">
        <v>8774</v>
      </c>
      <c r="V723" t="s">
        <v>8775</v>
      </c>
      <c r="W723" t="s">
        <v>74</v>
      </c>
      <c r="X723" t="s">
        <v>74</v>
      </c>
      <c r="Y723" t="s">
        <v>8776</v>
      </c>
      <c r="Z723" t="s">
        <v>74</v>
      </c>
      <c r="AA723" t="s">
        <v>74</v>
      </c>
      <c r="AB723" t="s">
        <v>74</v>
      </c>
      <c r="AC723" t="s">
        <v>74</v>
      </c>
      <c r="AD723" t="s">
        <v>74</v>
      </c>
      <c r="AE723" t="s">
        <v>74</v>
      </c>
      <c r="AF723" t="s">
        <v>74</v>
      </c>
      <c r="AG723">
        <v>66</v>
      </c>
      <c r="AH723">
        <v>61</v>
      </c>
      <c r="AI723">
        <v>62</v>
      </c>
      <c r="AJ723">
        <v>1</v>
      </c>
      <c r="AK723">
        <v>16</v>
      </c>
      <c r="AL723" t="s">
        <v>1340</v>
      </c>
      <c r="AM723" t="s">
        <v>1341</v>
      </c>
      <c r="AN723" t="s">
        <v>6997</v>
      </c>
      <c r="AO723" t="s">
        <v>8765</v>
      </c>
      <c r="AP723" t="s">
        <v>74</v>
      </c>
      <c r="AQ723" t="s">
        <v>74</v>
      </c>
      <c r="AR723" t="s">
        <v>8766</v>
      </c>
      <c r="AS723" t="s">
        <v>8767</v>
      </c>
      <c r="AT723" t="s">
        <v>8371</v>
      </c>
      <c r="AU723">
        <v>1997</v>
      </c>
      <c r="AV723">
        <v>70</v>
      </c>
      <c r="AW723">
        <v>6</v>
      </c>
      <c r="AX723" t="s">
        <v>74</v>
      </c>
      <c r="AY723" t="s">
        <v>74</v>
      </c>
      <c r="AZ723" t="s">
        <v>74</v>
      </c>
      <c r="BA723" t="s">
        <v>74</v>
      </c>
      <c r="BB723">
        <v>679</v>
      </c>
      <c r="BC723">
        <v>690</v>
      </c>
      <c r="BD723" t="s">
        <v>74</v>
      </c>
      <c r="BE723" t="s">
        <v>8777</v>
      </c>
      <c r="BF723" t="str">
        <f>HYPERLINK("http://dx.doi.org/10.1086/515870","http://dx.doi.org/10.1086/515870")</f>
        <v>http://dx.doi.org/10.1086/515870</v>
      </c>
      <c r="BG723" t="s">
        <v>74</v>
      </c>
      <c r="BH723" t="s">
        <v>74</v>
      </c>
      <c r="BI723">
        <v>12</v>
      </c>
      <c r="BJ723" t="s">
        <v>8769</v>
      </c>
      <c r="BK723" t="s">
        <v>98</v>
      </c>
      <c r="BL723" t="s">
        <v>8769</v>
      </c>
      <c r="BM723" t="s">
        <v>8770</v>
      </c>
      <c r="BN723">
        <v>9361142</v>
      </c>
      <c r="BO723" t="s">
        <v>74</v>
      </c>
      <c r="BP723" t="s">
        <v>74</v>
      </c>
      <c r="BQ723" t="s">
        <v>74</v>
      </c>
      <c r="BR723" t="s">
        <v>101</v>
      </c>
      <c r="BS723" t="s">
        <v>8778</v>
      </c>
      <c r="BT723" t="str">
        <f>HYPERLINK("https%3A%2F%2Fwww.webofscience.com%2Fwos%2Fwoscc%2Ffull-record%2FWOS:A1997YF04000010","View Full Record in Web of Science")</f>
        <v>View Full Record in Web of Science</v>
      </c>
    </row>
    <row r="724" spans="1:72" x14ac:dyDescent="0.15">
      <c r="A724" t="s">
        <v>72</v>
      </c>
      <c r="B724" t="s">
        <v>8779</v>
      </c>
      <c r="C724" t="s">
        <v>74</v>
      </c>
      <c r="D724" t="s">
        <v>74</v>
      </c>
      <c r="E724" t="s">
        <v>74</v>
      </c>
      <c r="F724" t="s">
        <v>8779</v>
      </c>
      <c r="G724" t="s">
        <v>74</v>
      </c>
      <c r="H724" t="s">
        <v>74</v>
      </c>
      <c r="I724" t="s">
        <v>8780</v>
      </c>
      <c r="J724" t="s">
        <v>888</v>
      </c>
      <c r="K724" t="s">
        <v>74</v>
      </c>
      <c r="L724" t="s">
        <v>74</v>
      </c>
      <c r="M724" t="s">
        <v>77</v>
      </c>
      <c r="N724" t="s">
        <v>78</v>
      </c>
      <c r="O724" t="s">
        <v>74</v>
      </c>
      <c r="P724" t="s">
        <v>74</v>
      </c>
      <c r="Q724" t="s">
        <v>74</v>
      </c>
      <c r="R724" t="s">
        <v>74</v>
      </c>
      <c r="S724" t="s">
        <v>74</v>
      </c>
      <c r="T724" t="s">
        <v>74</v>
      </c>
      <c r="U724" t="s">
        <v>8781</v>
      </c>
      <c r="V724" t="s">
        <v>8782</v>
      </c>
      <c r="W724" t="s">
        <v>8783</v>
      </c>
      <c r="X724" t="s">
        <v>8784</v>
      </c>
      <c r="Y724" t="s">
        <v>8785</v>
      </c>
      <c r="Z724" t="s">
        <v>74</v>
      </c>
      <c r="AA724" t="s">
        <v>74</v>
      </c>
      <c r="AB724" t="s">
        <v>74</v>
      </c>
      <c r="AC724" t="s">
        <v>74</v>
      </c>
      <c r="AD724" t="s">
        <v>74</v>
      </c>
      <c r="AE724" t="s">
        <v>74</v>
      </c>
      <c r="AF724" t="s">
        <v>74</v>
      </c>
      <c r="AG724">
        <v>51</v>
      </c>
      <c r="AH724">
        <v>44</v>
      </c>
      <c r="AI724">
        <v>50</v>
      </c>
      <c r="AJ724">
        <v>1</v>
      </c>
      <c r="AK724">
        <v>12</v>
      </c>
      <c r="AL724" t="s">
        <v>897</v>
      </c>
      <c r="AM724" t="s">
        <v>244</v>
      </c>
      <c r="AN724" t="s">
        <v>7783</v>
      </c>
      <c r="AO724" t="s">
        <v>899</v>
      </c>
      <c r="AP724" t="s">
        <v>74</v>
      </c>
      <c r="AQ724" t="s">
        <v>74</v>
      </c>
      <c r="AR724" t="s">
        <v>900</v>
      </c>
      <c r="AS724" t="s">
        <v>901</v>
      </c>
      <c r="AT724" t="s">
        <v>8263</v>
      </c>
      <c r="AU724">
        <v>1997</v>
      </c>
      <c r="AV724">
        <v>18</v>
      </c>
      <c r="AW724">
        <v>5</v>
      </c>
      <c r="AX724" t="s">
        <v>74</v>
      </c>
      <c r="AY724" t="s">
        <v>74</v>
      </c>
      <c r="AZ724" t="s">
        <v>74</v>
      </c>
      <c r="BA724" t="s">
        <v>74</v>
      </c>
      <c r="BB724">
        <v>295</v>
      </c>
      <c r="BC724">
        <v>304</v>
      </c>
      <c r="BD724" t="s">
        <v>74</v>
      </c>
      <c r="BE724" t="s">
        <v>8786</v>
      </c>
      <c r="BF724" t="str">
        <f>HYPERLINK("http://dx.doi.org/10.1007/s003000050191","http://dx.doi.org/10.1007/s003000050191")</f>
        <v>http://dx.doi.org/10.1007/s003000050191</v>
      </c>
      <c r="BG724" t="s">
        <v>74</v>
      </c>
      <c r="BH724" t="s">
        <v>74</v>
      </c>
      <c r="BI724">
        <v>10</v>
      </c>
      <c r="BJ724" t="s">
        <v>903</v>
      </c>
      <c r="BK724" t="s">
        <v>98</v>
      </c>
      <c r="BL724" t="s">
        <v>904</v>
      </c>
      <c r="BM724" t="s">
        <v>8787</v>
      </c>
      <c r="BN724" t="s">
        <v>74</v>
      </c>
      <c r="BO724" t="s">
        <v>74</v>
      </c>
      <c r="BP724" t="s">
        <v>74</v>
      </c>
      <c r="BQ724" t="s">
        <v>74</v>
      </c>
      <c r="BR724" t="s">
        <v>101</v>
      </c>
      <c r="BS724" t="s">
        <v>8788</v>
      </c>
      <c r="BT724" t="str">
        <f>HYPERLINK("https%3A%2F%2Fwww.webofscience.com%2Fwos%2Fwoscc%2Ffull-record%2FWOS:A1997YC03400001","View Full Record in Web of Science")</f>
        <v>View Full Record in Web of Science</v>
      </c>
    </row>
    <row r="725" spans="1:72" x14ac:dyDescent="0.15">
      <c r="A725" t="s">
        <v>72</v>
      </c>
      <c r="B725" t="s">
        <v>8789</v>
      </c>
      <c r="C725" t="s">
        <v>74</v>
      </c>
      <c r="D725" t="s">
        <v>74</v>
      </c>
      <c r="E725" t="s">
        <v>74</v>
      </c>
      <c r="F725" t="s">
        <v>8789</v>
      </c>
      <c r="G725" t="s">
        <v>74</v>
      </c>
      <c r="H725" t="s">
        <v>74</v>
      </c>
      <c r="I725" t="s">
        <v>8790</v>
      </c>
      <c r="J725" t="s">
        <v>888</v>
      </c>
      <c r="K725" t="s">
        <v>74</v>
      </c>
      <c r="L725" t="s">
        <v>74</v>
      </c>
      <c r="M725" t="s">
        <v>77</v>
      </c>
      <c r="N725" t="s">
        <v>78</v>
      </c>
      <c r="O725" t="s">
        <v>74</v>
      </c>
      <c r="P725" t="s">
        <v>74</v>
      </c>
      <c r="Q725" t="s">
        <v>74</v>
      </c>
      <c r="R725" t="s">
        <v>74</v>
      </c>
      <c r="S725" t="s">
        <v>74</v>
      </c>
      <c r="T725" t="s">
        <v>74</v>
      </c>
      <c r="U725" t="s">
        <v>74</v>
      </c>
      <c r="V725" t="s">
        <v>8791</v>
      </c>
      <c r="W725" t="s">
        <v>8792</v>
      </c>
      <c r="X725" t="s">
        <v>2908</v>
      </c>
      <c r="Y725" t="s">
        <v>74</v>
      </c>
      <c r="Z725" t="s">
        <v>74</v>
      </c>
      <c r="AA725" t="s">
        <v>8793</v>
      </c>
      <c r="AB725" t="s">
        <v>8794</v>
      </c>
      <c r="AC725" t="s">
        <v>74</v>
      </c>
      <c r="AD725" t="s">
        <v>74</v>
      </c>
      <c r="AE725" t="s">
        <v>74</v>
      </c>
      <c r="AF725" t="s">
        <v>74</v>
      </c>
      <c r="AG725">
        <v>15</v>
      </c>
      <c r="AH725">
        <v>31</v>
      </c>
      <c r="AI725">
        <v>41</v>
      </c>
      <c r="AJ725">
        <v>0</v>
      </c>
      <c r="AK725">
        <v>8</v>
      </c>
      <c r="AL725" t="s">
        <v>914</v>
      </c>
      <c r="AM725" t="s">
        <v>244</v>
      </c>
      <c r="AN725" t="s">
        <v>1400</v>
      </c>
      <c r="AO725" t="s">
        <v>899</v>
      </c>
      <c r="AP725" t="s">
        <v>916</v>
      </c>
      <c r="AQ725" t="s">
        <v>74</v>
      </c>
      <c r="AR725" t="s">
        <v>900</v>
      </c>
      <c r="AS725" t="s">
        <v>901</v>
      </c>
      <c r="AT725" t="s">
        <v>8263</v>
      </c>
      <c r="AU725">
        <v>1997</v>
      </c>
      <c r="AV725">
        <v>18</v>
      </c>
      <c r="AW725">
        <v>5</v>
      </c>
      <c r="AX725" t="s">
        <v>74</v>
      </c>
      <c r="AY725" t="s">
        <v>74</v>
      </c>
      <c r="AZ725" t="s">
        <v>74</v>
      </c>
      <c r="BA725" t="s">
        <v>74</v>
      </c>
      <c r="BB725">
        <v>319</v>
      </c>
      <c r="BC725">
        <v>324</v>
      </c>
      <c r="BD725" t="s">
        <v>74</v>
      </c>
      <c r="BE725" t="s">
        <v>8795</v>
      </c>
      <c r="BF725" t="str">
        <f>HYPERLINK("http://dx.doi.org/10.1007/s003000050194","http://dx.doi.org/10.1007/s003000050194")</f>
        <v>http://dx.doi.org/10.1007/s003000050194</v>
      </c>
      <c r="BG725" t="s">
        <v>74</v>
      </c>
      <c r="BH725" t="s">
        <v>74</v>
      </c>
      <c r="BI725">
        <v>6</v>
      </c>
      <c r="BJ725" t="s">
        <v>903</v>
      </c>
      <c r="BK725" t="s">
        <v>98</v>
      </c>
      <c r="BL725" t="s">
        <v>904</v>
      </c>
      <c r="BM725" t="s">
        <v>8787</v>
      </c>
      <c r="BN725" t="s">
        <v>74</v>
      </c>
      <c r="BO725" t="s">
        <v>74</v>
      </c>
      <c r="BP725" t="s">
        <v>74</v>
      </c>
      <c r="BQ725" t="s">
        <v>74</v>
      </c>
      <c r="BR725" t="s">
        <v>101</v>
      </c>
      <c r="BS725" t="s">
        <v>8796</v>
      </c>
      <c r="BT725" t="str">
        <f>HYPERLINK("https%3A%2F%2Fwww.webofscience.com%2Fwos%2Fwoscc%2Ffull-record%2FWOS:A1997YC03400004","View Full Record in Web of Science")</f>
        <v>View Full Record in Web of Science</v>
      </c>
    </row>
    <row r="726" spans="1:72" x14ac:dyDescent="0.15">
      <c r="A726" t="s">
        <v>72</v>
      </c>
      <c r="B726" t="s">
        <v>8797</v>
      </c>
      <c r="C726" t="s">
        <v>74</v>
      </c>
      <c r="D726" t="s">
        <v>74</v>
      </c>
      <c r="E726" t="s">
        <v>74</v>
      </c>
      <c r="F726" t="s">
        <v>8797</v>
      </c>
      <c r="G726" t="s">
        <v>74</v>
      </c>
      <c r="H726" t="s">
        <v>74</v>
      </c>
      <c r="I726" t="s">
        <v>8798</v>
      </c>
      <c r="J726" t="s">
        <v>888</v>
      </c>
      <c r="K726" t="s">
        <v>74</v>
      </c>
      <c r="L726" t="s">
        <v>74</v>
      </c>
      <c r="M726" t="s">
        <v>77</v>
      </c>
      <c r="N726" t="s">
        <v>78</v>
      </c>
      <c r="O726" t="s">
        <v>74</v>
      </c>
      <c r="P726" t="s">
        <v>74</v>
      </c>
      <c r="Q726" t="s">
        <v>74</v>
      </c>
      <c r="R726" t="s">
        <v>74</v>
      </c>
      <c r="S726" t="s">
        <v>74</v>
      </c>
      <c r="T726" t="s">
        <v>74</v>
      </c>
      <c r="U726" t="s">
        <v>8799</v>
      </c>
      <c r="V726" t="s">
        <v>8800</v>
      </c>
      <c r="W726" t="s">
        <v>8801</v>
      </c>
      <c r="X726" t="s">
        <v>8802</v>
      </c>
      <c r="Y726" t="s">
        <v>8803</v>
      </c>
      <c r="Z726" t="s">
        <v>74</v>
      </c>
      <c r="AA726" t="s">
        <v>8804</v>
      </c>
      <c r="AB726" t="s">
        <v>74</v>
      </c>
      <c r="AC726" t="s">
        <v>74</v>
      </c>
      <c r="AD726" t="s">
        <v>74</v>
      </c>
      <c r="AE726" t="s">
        <v>74</v>
      </c>
      <c r="AF726" t="s">
        <v>74</v>
      </c>
      <c r="AG726">
        <v>52</v>
      </c>
      <c r="AH726">
        <v>33</v>
      </c>
      <c r="AI726">
        <v>38</v>
      </c>
      <c r="AJ726">
        <v>1</v>
      </c>
      <c r="AK726">
        <v>21</v>
      </c>
      <c r="AL726" t="s">
        <v>897</v>
      </c>
      <c r="AM726" t="s">
        <v>244</v>
      </c>
      <c r="AN726" t="s">
        <v>7783</v>
      </c>
      <c r="AO726" t="s">
        <v>899</v>
      </c>
      <c r="AP726" t="s">
        <v>74</v>
      </c>
      <c r="AQ726" t="s">
        <v>74</v>
      </c>
      <c r="AR726" t="s">
        <v>900</v>
      </c>
      <c r="AS726" t="s">
        <v>901</v>
      </c>
      <c r="AT726" t="s">
        <v>8263</v>
      </c>
      <c r="AU726">
        <v>1997</v>
      </c>
      <c r="AV726">
        <v>18</v>
      </c>
      <c r="AW726">
        <v>5</v>
      </c>
      <c r="AX726" t="s">
        <v>74</v>
      </c>
      <c r="AY726" t="s">
        <v>74</v>
      </c>
      <c r="AZ726" t="s">
        <v>74</v>
      </c>
      <c r="BA726" t="s">
        <v>74</v>
      </c>
      <c r="BB726">
        <v>331</v>
      </c>
      <c r="BC726">
        <v>336</v>
      </c>
      <c r="BD726" t="s">
        <v>74</v>
      </c>
      <c r="BE726" t="s">
        <v>8805</v>
      </c>
      <c r="BF726" t="str">
        <f>HYPERLINK("http://dx.doi.org/10.1007/s003000050196","http://dx.doi.org/10.1007/s003000050196")</f>
        <v>http://dx.doi.org/10.1007/s003000050196</v>
      </c>
      <c r="BG726" t="s">
        <v>74</v>
      </c>
      <c r="BH726" t="s">
        <v>74</v>
      </c>
      <c r="BI726">
        <v>6</v>
      </c>
      <c r="BJ726" t="s">
        <v>903</v>
      </c>
      <c r="BK726" t="s">
        <v>98</v>
      </c>
      <c r="BL726" t="s">
        <v>904</v>
      </c>
      <c r="BM726" t="s">
        <v>8787</v>
      </c>
      <c r="BN726" t="s">
        <v>74</v>
      </c>
      <c r="BO726" t="s">
        <v>74</v>
      </c>
      <c r="BP726" t="s">
        <v>74</v>
      </c>
      <c r="BQ726" t="s">
        <v>74</v>
      </c>
      <c r="BR726" t="s">
        <v>101</v>
      </c>
      <c r="BS726" t="s">
        <v>8806</v>
      </c>
      <c r="BT726" t="str">
        <f>HYPERLINK("https%3A%2F%2Fwww.webofscience.com%2Fwos%2Fwoscc%2Ffull-record%2FWOS:A1997YC03400006","View Full Record in Web of Science")</f>
        <v>View Full Record in Web of Science</v>
      </c>
    </row>
    <row r="727" spans="1:72" x14ac:dyDescent="0.15">
      <c r="A727" t="s">
        <v>72</v>
      </c>
      <c r="B727" t="s">
        <v>8807</v>
      </c>
      <c r="C727" t="s">
        <v>74</v>
      </c>
      <c r="D727" t="s">
        <v>74</v>
      </c>
      <c r="E727" t="s">
        <v>74</v>
      </c>
      <c r="F727" t="s">
        <v>8807</v>
      </c>
      <c r="G727" t="s">
        <v>74</v>
      </c>
      <c r="H727" t="s">
        <v>74</v>
      </c>
      <c r="I727" t="s">
        <v>8808</v>
      </c>
      <c r="J727" t="s">
        <v>888</v>
      </c>
      <c r="K727" t="s">
        <v>74</v>
      </c>
      <c r="L727" t="s">
        <v>74</v>
      </c>
      <c r="M727" t="s">
        <v>77</v>
      </c>
      <c r="N727" t="s">
        <v>78</v>
      </c>
      <c r="O727" t="s">
        <v>74</v>
      </c>
      <c r="P727" t="s">
        <v>74</v>
      </c>
      <c r="Q727" t="s">
        <v>74</v>
      </c>
      <c r="R727" t="s">
        <v>74</v>
      </c>
      <c r="S727" t="s">
        <v>74</v>
      </c>
      <c r="T727" t="s">
        <v>74</v>
      </c>
      <c r="U727" t="s">
        <v>8809</v>
      </c>
      <c r="V727" t="s">
        <v>8810</v>
      </c>
      <c r="W727" t="s">
        <v>8811</v>
      </c>
      <c r="X727" t="s">
        <v>8812</v>
      </c>
      <c r="Y727" t="s">
        <v>8813</v>
      </c>
      <c r="Z727" t="s">
        <v>74</v>
      </c>
      <c r="AA727" t="s">
        <v>74</v>
      </c>
      <c r="AB727" t="s">
        <v>8814</v>
      </c>
      <c r="AC727" t="s">
        <v>74</v>
      </c>
      <c r="AD727" t="s">
        <v>74</v>
      </c>
      <c r="AE727" t="s">
        <v>74</v>
      </c>
      <c r="AF727" t="s">
        <v>74</v>
      </c>
      <c r="AG727">
        <v>40</v>
      </c>
      <c r="AH727">
        <v>25</v>
      </c>
      <c r="AI727">
        <v>30</v>
      </c>
      <c r="AJ727">
        <v>0</v>
      </c>
      <c r="AK727">
        <v>2</v>
      </c>
      <c r="AL727" t="s">
        <v>914</v>
      </c>
      <c r="AM727" t="s">
        <v>244</v>
      </c>
      <c r="AN727" t="s">
        <v>1400</v>
      </c>
      <c r="AO727" t="s">
        <v>899</v>
      </c>
      <c r="AP727" t="s">
        <v>916</v>
      </c>
      <c r="AQ727" t="s">
        <v>74</v>
      </c>
      <c r="AR727" t="s">
        <v>900</v>
      </c>
      <c r="AS727" t="s">
        <v>901</v>
      </c>
      <c r="AT727" t="s">
        <v>8263</v>
      </c>
      <c r="AU727">
        <v>1997</v>
      </c>
      <c r="AV727">
        <v>18</v>
      </c>
      <c r="AW727">
        <v>5</v>
      </c>
      <c r="AX727" t="s">
        <v>74</v>
      </c>
      <c r="AY727" t="s">
        <v>74</v>
      </c>
      <c r="AZ727" t="s">
        <v>74</v>
      </c>
      <c r="BA727" t="s">
        <v>74</v>
      </c>
      <c r="BB727">
        <v>344</v>
      </c>
      <c r="BC727">
        <v>350</v>
      </c>
      <c r="BD727" t="s">
        <v>74</v>
      </c>
      <c r="BE727" t="s">
        <v>74</v>
      </c>
      <c r="BF727" t="s">
        <v>74</v>
      </c>
      <c r="BG727" t="s">
        <v>74</v>
      </c>
      <c r="BH727" t="s">
        <v>74</v>
      </c>
      <c r="BI727">
        <v>7</v>
      </c>
      <c r="BJ727" t="s">
        <v>903</v>
      </c>
      <c r="BK727" t="s">
        <v>98</v>
      </c>
      <c r="BL727" t="s">
        <v>904</v>
      </c>
      <c r="BM727" t="s">
        <v>8787</v>
      </c>
      <c r="BN727" t="s">
        <v>74</v>
      </c>
      <c r="BO727" t="s">
        <v>74</v>
      </c>
      <c r="BP727" t="s">
        <v>74</v>
      </c>
      <c r="BQ727" t="s">
        <v>74</v>
      </c>
      <c r="BR727" t="s">
        <v>101</v>
      </c>
      <c r="BS727" t="s">
        <v>8815</v>
      </c>
      <c r="BT727" t="str">
        <f>HYPERLINK("https%3A%2F%2Fwww.webofscience.com%2Fwos%2Fwoscc%2Ffull-record%2FWOS:A1997YC03400008","View Full Record in Web of Science")</f>
        <v>View Full Record in Web of Science</v>
      </c>
    </row>
    <row r="728" spans="1:72" x14ac:dyDescent="0.15">
      <c r="A728" t="s">
        <v>72</v>
      </c>
      <c r="B728" t="s">
        <v>8816</v>
      </c>
      <c r="C728" t="s">
        <v>74</v>
      </c>
      <c r="D728" t="s">
        <v>74</v>
      </c>
      <c r="E728" t="s">
        <v>74</v>
      </c>
      <c r="F728" t="s">
        <v>8816</v>
      </c>
      <c r="G728" t="s">
        <v>74</v>
      </c>
      <c r="H728" t="s">
        <v>74</v>
      </c>
      <c r="I728" t="s">
        <v>8817</v>
      </c>
      <c r="J728" t="s">
        <v>888</v>
      </c>
      <c r="K728" t="s">
        <v>74</v>
      </c>
      <c r="L728" t="s">
        <v>74</v>
      </c>
      <c r="M728" t="s">
        <v>77</v>
      </c>
      <c r="N728" t="s">
        <v>78</v>
      </c>
      <c r="O728" t="s">
        <v>74</v>
      </c>
      <c r="P728" t="s">
        <v>74</v>
      </c>
      <c r="Q728" t="s">
        <v>74</v>
      </c>
      <c r="R728" t="s">
        <v>74</v>
      </c>
      <c r="S728" t="s">
        <v>74</v>
      </c>
      <c r="T728" t="s">
        <v>74</v>
      </c>
      <c r="U728" t="s">
        <v>8818</v>
      </c>
      <c r="V728" t="s">
        <v>8819</v>
      </c>
      <c r="W728" t="s">
        <v>74</v>
      </c>
      <c r="X728" t="s">
        <v>74</v>
      </c>
      <c r="Y728" t="s">
        <v>8820</v>
      </c>
      <c r="Z728" t="s">
        <v>74</v>
      </c>
      <c r="AA728" t="s">
        <v>8821</v>
      </c>
      <c r="AB728" t="s">
        <v>8822</v>
      </c>
      <c r="AC728" t="s">
        <v>74</v>
      </c>
      <c r="AD728" t="s">
        <v>74</v>
      </c>
      <c r="AE728" t="s">
        <v>74</v>
      </c>
      <c r="AF728" t="s">
        <v>74</v>
      </c>
      <c r="AG728">
        <v>18</v>
      </c>
      <c r="AH728">
        <v>16</v>
      </c>
      <c r="AI728">
        <v>16</v>
      </c>
      <c r="AJ728">
        <v>0</v>
      </c>
      <c r="AK728">
        <v>4</v>
      </c>
      <c r="AL728" t="s">
        <v>914</v>
      </c>
      <c r="AM728" t="s">
        <v>244</v>
      </c>
      <c r="AN728" t="s">
        <v>1400</v>
      </c>
      <c r="AO728" t="s">
        <v>899</v>
      </c>
      <c r="AP728" t="s">
        <v>916</v>
      </c>
      <c r="AQ728" t="s">
        <v>74</v>
      </c>
      <c r="AR728" t="s">
        <v>900</v>
      </c>
      <c r="AS728" t="s">
        <v>901</v>
      </c>
      <c r="AT728" t="s">
        <v>8263</v>
      </c>
      <c r="AU728">
        <v>1997</v>
      </c>
      <c r="AV728">
        <v>18</v>
      </c>
      <c r="AW728">
        <v>5</v>
      </c>
      <c r="AX728" t="s">
        <v>74</v>
      </c>
      <c r="AY728" t="s">
        <v>74</v>
      </c>
      <c r="AZ728" t="s">
        <v>74</v>
      </c>
      <c r="BA728" t="s">
        <v>74</v>
      </c>
      <c r="BB728">
        <v>358</v>
      </c>
      <c r="BC728">
        <v>362</v>
      </c>
      <c r="BD728" t="s">
        <v>74</v>
      </c>
      <c r="BE728" t="s">
        <v>8823</v>
      </c>
      <c r="BF728" t="str">
        <f>HYPERLINK("http://dx.doi.org/10.1007/s003000050200","http://dx.doi.org/10.1007/s003000050200")</f>
        <v>http://dx.doi.org/10.1007/s003000050200</v>
      </c>
      <c r="BG728" t="s">
        <v>74</v>
      </c>
      <c r="BH728" t="s">
        <v>74</v>
      </c>
      <c r="BI728">
        <v>5</v>
      </c>
      <c r="BJ728" t="s">
        <v>903</v>
      </c>
      <c r="BK728" t="s">
        <v>98</v>
      </c>
      <c r="BL728" t="s">
        <v>904</v>
      </c>
      <c r="BM728" t="s">
        <v>8787</v>
      </c>
      <c r="BN728" t="s">
        <v>74</v>
      </c>
      <c r="BO728" t="s">
        <v>74</v>
      </c>
      <c r="BP728" t="s">
        <v>74</v>
      </c>
      <c r="BQ728" t="s">
        <v>74</v>
      </c>
      <c r="BR728" t="s">
        <v>101</v>
      </c>
      <c r="BS728" t="s">
        <v>8824</v>
      </c>
      <c r="BT728" t="str">
        <f>HYPERLINK("https%3A%2F%2Fwww.webofscience.com%2Fwos%2Fwoscc%2Ffull-record%2FWOS:A1997YC03400010","View Full Record in Web of Science")</f>
        <v>View Full Record in Web of Science</v>
      </c>
    </row>
    <row r="729" spans="1:72" x14ac:dyDescent="0.15">
      <c r="A729" t="s">
        <v>72</v>
      </c>
      <c r="B729" t="s">
        <v>8825</v>
      </c>
      <c r="C729" t="s">
        <v>74</v>
      </c>
      <c r="D729" t="s">
        <v>74</v>
      </c>
      <c r="E729" t="s">
        <v>74</v>
      </c>
      <c r="F729" t="s">
        <v>8825</v>
      </c>
      <c r="G729" t="s">
        <v>74</v>
      </c>
      <c r="H729" t="s">
        <v>74</v>
      </c>
      <c r="I729" t="s">
        <v>8826</v>
      </c>
      <c r="J729" t="s">
        <v>8827</v>
      </c>
      <c r="K729" t="s">
        <v>74</v>
      </c>
      <c r="L729" t="s">
        <v>74</v>
      </c>
      <c r="M729" t="s">
        <v>77</v>
      </c>
      <c r="N729" t="s">
        <v>78</v>
      </c>
      <c r="O729" t="s">
        <v>74</v>
      </c>
      <c r="P729" t="s">
        <v>74</v>
      </c>
      <c r="Q729" t="s">
        <v>74</v>
      </c>
      <c r="R729" t="s">
        <v>74</v>
      </c>
      <c r="S729" t="s">
        <v>74</v>
      </c>
      <c r="T729" t="s">
        <v>8828</v>
      </c>
      <c r="U729" t="s">
        <v>8829</v>
      </c>
      <c r="V729" t="s">
        <v>8830</v>
      </c>
      <c r="W729" t="s">
        <v>8831</v>
      </c>
      <c r="X729" t="s">
        <v>357</v>
      </c>
      <c r="Y729" t="s">
        <v>8832</v>
      </c>
      <c r="Z729" t="s">
        <v>74</v>
      </c>
      <c r="AA729" t="s">
        <v>74</v>
      </c>
      <c r="AB729" t="s">
        <v>74</v>
      </c>
      <c r="AC729" t="s">
        <v>74</v>
      </c>
      <c r="AD729" t="s">
        <v>74</v>
      </c>
      <c r="AE729" t="s">
        <v>74</v>
      </c>
      <c r="AF729" t="s">
        <v>74</v>
      </c>
      <c r="AG729">
        <v>39</v>
      </c>
      <c r="AH729">
        <v>107</v>
      </c>
      <c r="AI729">
        <v>125</v>
      </c>
      <c r="AJ729">
        <v>0</v>
      </c>
      <c r="AK729">
        <v>12</v>
      </c>
      <c r="AL729" t="s">
        <v>1692</v>
      </c>
      <c r="AM729" t="s">
        <v>214</v>
      </c>
      <c r="AN729" t="s">
        <v>1693</v>
      </c>
      <c r="AO729" t="s">
        <v>8833</v>
      </c>
      <c r="AP729" t="s">
        <v>74</v>
      </c>
      <c r="AQ729" t="s">
        <v>74</v>
      </c>
      <c r="AR729" t="s">
        <v>8834</v>
      </c>
      <c r="AS729" t="s">
        <v>8835</v>
      </c>
      <c r="AT729" t="s">
        <v>8263</v>
      </c>
      <c r="AU729">
        <v>1997</v>
      </c>
      <c r="AV729">
        <v>10</v>
      </c>
      <c r="AW729">
        <v>11</v>
      </c>
      <c r="AX729" t="s">
        <v>74</v>
      </c>
      <c r="AY729" t="s">
        <v>74</v>
      </c>
      <c r="AZ729" t="s">
        <v>74</v>
      </c>
      <c r="BA729" t="s">
        <v>74</v>
      </c>
      <c r="BB729">
        <v>1271</v>
      </c>
      <c r="BC729">
        <v>1279</v>
      </c>
      <c r="BD729" t="s">
        <v>74</v>
      </c>
      <c r="BE729" t="s">
        <v>8836</v>
      </c>
      <c r="BF729" t="str">
        <f>HYPERLINK("http://dx.doi.org/10.1093/protein/10.11.1271","http://dx.doi.org/10.1093/protein/10.11.1271")</f>
        <v>http://dx.doi.org/10.1093/protein/10.11.1271</v>
      </c>
      <c r="BG729" t="s">
        <v>74</v>
      </c>
      <c r="BH729" t="s">
        <v>74</v>
      </c>
      <c r="BI729">
        <v>9</v>
      </c>
      <c r="BJ729" t="s">
        <v>8837</v>
      </c>
      <c r="BK729" t="s">
        <v>98</v>
      </c>
      <c r="BL729" t="s">
        <v>8837</v>
      </c>
      <c r="BM729" t="s">
        <v>8838</v>
      </c>
      <c r="BN729">
        <v>9514115</v>
      </c>
      <c r="BO729" t="s">
        <v>100</v>
      </c>
      <c r="BP729" t="s">
        <v>74</v>
      </c>
      <c r="BQ729" t="s">
        <v>74</v>
      </c>
      <c r="BR729" t="s">
        <v>101</v>
      </c>
      <c r="BS729" t="s">
        <v>8839</v>
      </c>
      <c r="BT729" t="str">
        <f>HYPERLINK("https%3A%2F%2Fwww.webofscience.com%2Fwos%2Fwoscc%2Ffull-record%2FWOS:000072112300004","View Full Record in Web of Science")</f>
        <v>View Full Record in Web of Science</v>
      </c>
    </row>
    <row r="730" spans="1:72" x14ac:dyDescent="0.15">
      <c r="A730" t="s">
        <v>72</v>
      </c>
      <c r="B730" t="s">
        <v>8840</v>
      </c>
      <c r="C730" t="s">
        <v>74</v>
      </c>
      <c r="D730" t="s">
        <v>74</v>
      </c>
      <c r="E730" t="s">
        <v>74</v>
      </c>
      <c r="F730" t="s">
        <v>8840</v>
      </c>
      <c r="G730" t="s">
        <v>74</v>
      </c>
      <c r="H730" t="s">
        <v>74</v>
      </c>
      <c r="I730" t="s">
        <v>8841</v>
      </c>
      <c r="J730" t="s">
        <v>937</v>
      </c>
      <c r="K730" t="s">
        <v>74</v>
      </c>
      <c r="L730" t="s">
        <v>74</v>
      </c>
      <c r="M730" t="s">
        <v>77</v>
      </c>
      <c r="N730" t="s">
        <v>78</v>
      </c>
      <c r="O730" t="s">
        <v>74</v>
      </c>
      <c r="P730" t="s">
        <v>74</v>
      </c>
      <c r="Q730" t="s">
        <v>74</v>
      </c>
      <c r="R730" t="s">
        <v>74</v>
      </c>
      <c r="S730" t="s">
        <v>74</v>
      </c>
      <c r="T730" t="s">
        <v>8842</v>
      </c>
      <c r="U730" t="s">
        <v>8843</v>
      </c>
      <c r="V730" t="s">
        <v>8844</v>
      </c>
      <c r="W730" t="s">
        <v>8845</v>
      </c>
      <c r="X730" t="s">
        <v>8846</v>
      </c>
      <c r="Y730" t="s">
        <v>74</v>
      </c>
      <c r="Z730" t="s">
        <v>74</v>
      </c>
      <c r="AA730" t="s">
        <v>74</v>
      </c>
      <c r="AB730" t="s">
        <v>8847</v>
      </c>
      <c r="AC730" t="s">
        <v>74</v>
      </c>
      <c r="AD730" t="s">
        <v>74</v>
      </c>
      <c r="AE730" t="s">
        <v>74</v>
      </c>
      <c r="AF730" t="s">
        <v>74</v>
      </c>
      <c r="AG730">
        <v>16</v>
      </c>
      <c r="AH730">
        <v>40</v>
      </c>
      <c r="AI730">
        <v>45</v>
      </c>
      <c r="AJ730">
        <v>0</v>
      </c>
      <c r="AK730">
        <v>5</v>
      </c>
      <c r="AL730" t="s">
        <v>877</v>
      </c>
      <c r="AM730" t="s">
        <v>826</v>
      </c>
      <c r="AN730" t="s">
        <v>827</v>
      </c>
      <c r="AO730" t="s">
        <v>947</v>
      </c>
      <c r="AP730" t="s">
        <v>8848</v>
      </c>
      <c r="AQ730" t="s">
        <v>74</v>
      </c>
      <c r="AR730" t="s">
        <v>948</v>
      </c>
      <c r="AS730" t="s">
        <v>949</v>
      </c>
      <c r="AT730" t="s">
        <v>8263</v>
      </c>
      <c r="AU730">
        <v>1997</v>
      </c>
      <c r="AV730">
        <v>6</v>
      </c>
      <c r="AW730">
        <v>11</v>
      </c>
      <c r="AX730" t="s">
        <v>74</v>
      </c>
      <c r="AY730" t="s">
        <v>74</v>
      </c>
      <c r="AZ730" t="s">
        <v>74</v>
      </c>
      <c r="BA730" t="s">
        <v>74</v>
      </c>
      <c r="BB730">
        <v>2462</v>
      </c>
      <c r="BC730">
        <v>2464</v>
      </c>
      <c r="BD730" t="s">
        <v>74</v>
      </c>
      <c r="BE730" t="s">
        <v>74</v>
      </c>
      <c r="BF730" t="s">
        <v>74</v>
      </c>
      <c r="BG730" t="s">
        <v>74</v>
      </c>
      <c r="BH730" t="s">
        <v>74</v>
      </c>
      <c r="BI730">
        <v>3</v>
      </c>
      <c r="BJ730" t="s">
        <v>951</v>
      </c>
      <c r="BK730" t="s">
        <v>98</v>
      </c>
      <c r="BL730" t="s">
        <v>951</v>
      </c>
      <c r="BM730" t="s">
        <v>8849</v>
      </c>
      <c r="BN730">
        <v>9385650</v>
      </c>
      <c r="BO730" t="s">
        <v>74</v>
      </c>
      <c r="BP730" t="s">
        <v>74</v>
      </c>
      <c r="BQ730" t="s">
        <v>74</v>
      </c>
      <c r="BR730" t="s">
        <v>101</v>
      </c>
      <c r="BS730" t="s">
        <v>8850</v>
      </c>
      <c r="BT730" t="str">
        <f>HYPERLINK("https%3A%2F%2Fwww.webofscience.com%2Fwos%2Fwoscc%2Ffull-record%2FWOS:A1997YF61400021","View Full Record in Web of Science")</f>
        <v>View Full Record in Web of Science</v>
      </c>
    </row>
    <row r="731" spans="1:72" x14ac:dyDescent="0.15">
      <c r="A731" t="s">
        <v>72</v>
      </c>
      <c r="B731" t="s">
        <v>8851</v>
      </c>
      <c r="C731" t="s">
        <v>74</v>
      </c>
      <c r="D731" t="s">
        <v>74</v>
      </c>
      <c r="E731" t="s">
        <v>74</v>
      </c>
      <c r="F731" t="s">
        <v>8851</v>
      </c>
      <c r="G731" t="s">
        <v>74</v>
      </c>
      <c r="H731" t="s">
        <v>74</v>
      </c>
      <c r="I731" t="s">
        <v>8852</v>
      </c>
      <c r="J731" t="s">
        <v>8853</v>
      </c>
      <c r="K731" t="s">
        <v>74</v>
      </c>
      <c r="L731" t="s">
        <v>74</v>
      </c>
      <c r="M731" t="s">
        <v>77</v>
      </c>
      <c r="N731" t="s">
        <v>78</v>
      </c>
      <c r="O731" t="s">
        <v>74</v>
      </c>
      <c r="P731" t="s">
        <v>74</v>
      </c>
      <c r="Q731" t="s">
        <v>74</v>
      </c>
      <c r="R731" t="s">
        <v>74</v>
      </c>
      <c r="S731" t="s">
        <v>74</v>
      </c>
      <c r="T731" t="s">
        <v>74</v>
      </c>
      <c r="U731" t="s">
        <v>8854</v>
      </c>
      <c r="V731" t="s">
        <v>8855</v>
      </c>
      <c r="W731" t="s">
        <v>372</v>
      </c>
      <c r="X731" t="s">
        <v>322</v>
      </c>
      <c r="Y731" t="s">
        <v>8856</v>
      </c>
      <c r="Z731" t="s">
        <v>8857</v>
      </c>
      <c r="AA731" t="s">
        <v>74</v>
      </c>
      <c r="AB731" t="s">
        <v>74</v>
      </c>
      <c r="AC731" t="s">
        <v>74</v>
      </c>
      <c r="AD731" t="s">
        <v>74</v>
      </c>
      <c r="AE731" t="s">
        <v>74</v>
      </c>
      <c r="AF731" t="s">
        <v>74</v>
      </c>
      <c r="AG731">
        <v>35</v>
      </c>
      <c r="AH731">
        <v>31</v>
      </c>
      <c r="AI731">
        <v>31</v>
      </c>
      <c r="AJ731">
        <v>0</v>
      </c>
      <c r="AK731">
        <v>1</v>
      </c>
      <c r="AL731" t="s">
        <v>87</v>
      </c>
      <c r="AM731" t="s">
        <v>88</v>
      </c>
      <c r="AN731" t="s">
        <v>89</v>
      </c>
      <c r="AO731" t="s">
        <v>8858</v>
      </c>
      <c r="AP731" t="s">
        <v>74</v>
      </c>
      <c r="AQ731" t="s">
        <v>74</v>
      </c>
      <c r="AR731" t="s">
        <v>8859</v>
      </c>
      <c r="AS731" t="s">
        <v>8860</v>
      </c>
      <c r="AT731" t="s">
        <v>8371</v>
      </c>
      <c r="AU731">
        <v>1997</v>
      </c>
      <c r="AV731">
        <v>32</v>
      </c>
      <c r="AW731">
        <v>6</v>
      </c>
      <c r="AX731" t="s">
        <v>74</v>
      </c>
      <c r="AY731" t="s">
        <v>74</v>
      </c>
      <c r="AZ731" t="s">
        <v>74</v>
      </c>
      <c r="BA731" t="s">
        <v>74</v>
      </c>
      <c r="BB731">
        <v>2109</v>
      </c>
      <c r="BC731">
        <v>2122</v>
      </c>
      <c r="BD731" t="s">
        <v>74</v>
      </c>
      <c r="BE731" t="s">
        <v>8861</v>
      </c>
      <c r="BF731" t="str">
        <f>HYPERLINK("http://dx.doi.org/10.1029/97RS01825","http://dx.doi.org/10.1029/97RS01825")</f>
        <v>http://dx.doi.org/10.1029/97RS01825</v>
      </c>
      <c r="BG731" t="s">
        <v>74</v>
      </c>
      <c r="BH731" t="s">
        <v>74</v>
      </c>
      <c r="BI731">
        <v>14</v>
      </c>
      <c r="BJ731" t="s">
        <v>8862</v>
      </c>
      <c r="BK731" t="s">
        <v>98</v>
      </c>
      <c r="BL731" t="s">
        <v>8862</v>
      </c>
      <c r="BM731" t="s">
        <v>8863</v>
      </c>
      <c r="BN731" t="s">
        <v>74</v>
      </c>
      <c r="BO731" t="s">
        <v>100</v>
      </c>
      <c r="BP731" t="s">
        <v>74</v>
      </c>
      <c r="BQ731" t="s">
        <v>74</v>
      </c>
      <c r="BR731" t="s">
        <v>101</v>
      </c>
      <c r="BS731" t="s">
        <v>8864</v>
      </c>
      <c r="BT731" t="str">
        <f>HYPERLINK("https%3A%2F%2Fwww.webofscience.com%2Fwos%2Fwoscc%2Ffull-record%2FWOS:000071476700001","View Full Record in Web of Science")</f>
        <v>View Full Record in Web of Science</v>
      </c>
    </row>
    <row r="732" spans="1:72" x14ac:dyDescent="0.15">
      <c r="A732" t="s">
        <v>72</v>
      </c>
      <c r="B732" t="s">
        <v>8865</v>
      </c>
      <c r="C732" t="s">
        <v>74</v>
      </c>
      <c r="D732" t="s">
        <v>74</v>
      </c>
      <c r="E732" t="s">
        <v>74</v>
      </c>
      <c r="F732" t="s">
        <v>8865</v>
      </c>
      <c r="G732" t="s">
        <v>74</v>
      </c>
      <c r="H732" t="s">
        <v>74</v>
      </c>
      <c r="I732" t="s">
        <v>8866</v>
      </c>
      <c r="J732" t="s">
        <v>8867</v>
      </c>
      <c r="K732" t="s">
        <v>74</v>
      </c>
      <c r="L732" t="s">
        <v>74</v>
      </c>
      <c r="M732" t="s">
        <v>77</v>
      </c>
      <c r="N732" t="s">
        <v>78</v>
      </c>
      <c r="O732" t="s">
        <v>74</v>
      </c>
      <c r="P732" t="s">
        <v>74</v>
      </c>
      <c r="Q732" t="s">
        <v>74</v>
      </c>
      <c r="R732" t="s">
        <v>74</v>
      </c>
      <c r="S732" t="s">
        <v>74</v>
      </c>
      <c r="T732" t="s">
        <v>74</v>
      </c>
      <c r="U732" t="s">
        <v>8868</v>
      </c>
      <c r="V732" t="s">
        <v>8869</v>
      </c>
      <c r="W732" t="s">
        <v>74</v>
      </c>
      <c r="X732" t="s">
        <v>74</v>
      </c>
      <c r="Y732" t="s">
        <v>8870</v>
      </c>
      <c r="Z732" t="s">
        <v>74</v>
      </c>
      <c r="AA732" t="s">
        <v>8871</v>
      </c>
      <c r="AB732" t="s">
        <v>8872</v>
      </c>
      <c r="AC732" t="s">
        <v>74</v>
      </c>
      <c r="AD732" t="s">
        <v>74</v>
      </c>
      <c r="AE732" t="s">
        <v>74</v>
      </c>
      <c r="AF732" t="s">
        <v>74</v>
      </c>
      <c r="AG732">
        <v>24</v>
      </c>
      <c r="AH732">
        <v>59</v>
      </c>
      <c r="AI732">
        <v>60</v>
      </c>
      <c r="AJ732">
        <v>1</v>
      </c>
      <c r="AK732">
        <v>19</v>
      </c>
      <c r="AL732" t="s">
        <v>1632</v>
      </c>
      <c r="AM732" t="s">
        <v>1633</v>
      </c>
      <c r="AN732" t="s">
        <v>8873</v>
      </c>
      <c r="AO732" t="s">
        <v>8874</v>
      </c>
      <c r="AP732" t="s">
        <v>74</v>
      </c>
      <c r="AQ732" t="s">
        <v>74</v>
      </c>
      <c r="AR732" t="s">
        <v>8875</v>
      </c>
      <c r="AS732" t="s">
        <v>8876</v>
      </c>
      <c r="AT732" t="s">
        <v>8263</v>
      </c>
      <c r="AU732">
        <v>1997</v>
      </c>
      <c r="AV732">
        <v>68</v>
      </c>
      <c r="AW732">
        <v>11</v>
      </c>
      <c r="AX732" t="s">
        <v>74</v>
      </c>
      <c r="AY732" t="s">
        <v>74</v>
      </c>
      <c r="AZ732" t="s">
        <v>74</v>
      </c>
      <c r="BA732" t="s">
        <v>74</v>
      </c>
      <c r="BB732">
        <v>4263</v>
      </c>
      <c r="BC732">
        <v>4270</v>
      </c>
      <c r="BD732" t="s">
        <v>74</v>
      </c>
      <c r="BE732" t="s">
        <v>8877</v>
      </c>
      <c r="BF732" t="str">
        <f>HYPERLINK("http://dx.doi.org/10.1063/1.1148340","http://dx.doi.org/10.1063/1.1148340")</f>
        <v>http://dx.doi.org/10.1063/1.1148340</v>
      </c>
      <c r="BG732" t="s">
        <v>74</v>
      </c>
      <c r="BH732" t="s">
        <v>74</v>
      </c>
      <c r="BI732">
        <v>8</v>
      </c>
      <c r="BJ732" t="s">
        <v>8878</v>
      </c>
      <c r="BK732" t="s">
        <v>98</v>
      </c>
      <c r="BL732" t="s">
        <v>8879</v>
      </c>
      <c r="BM732" t="s">
        <v>8880</v>
      </c>
      <c r="BN732" t="s">
        <v>74</v>
      </c>
      <c r="BO732" t="s">
        <v>74</v>
      </c>
      <c r="BP732" t="s">
        <v>74</v>
      </c>
      <c r="BQ732" t="s">
        <v>74</v>
      </c>
      <c r="BR732" t="s">
        <v>101</v>
      </c>
      <c r="BS732" t="s">
        <v>8881</v>
      </c>
      <c r="BT732" t="str">
        <f>HYPERLINK("https%3A%2F%2Fwww.webofscience.com%2Fwos%2Fwoscc%2Ffull-record%2FWOS:A1997YG09300048","View Full Record in Web of Science")</f>
        <v>View Full Record in Web of Science</v>
      </c>
    </row>
    <row r="733" spans="1:72" x14ac:dyDescent="0.15">
      <c r="A733" t="s">
        <v>72</v>
      </c>
      <c r="B733" t="s">
        <v>8882</v>
      </c>
      <c r="C733" t="s">
        <v>74</v>
      </c>
      <c r="D733" t="s">
        <v>74</v>
      </c>
      <c r="E733" t="s">
        <v>74</v>
      </c>
      <c r="F733" t="s">
        <v>8882</v>
      </c>
      <c r="G733" t="s">
        <v>74</v>
      </c>
      <c r="H733" t="s">
        <v>74</v>
      </c>
      <c r="I733" t="s">
        <v>8883</v>
      </c>
      <c r="J733" t="s">
        <v>8884</v>
      </c>
      <c r="K733" t="s">
        <v>74</v>
      </c>
      <c r="L733" t="s">
        <v>74</v>
      </c>
      <c r="M733" t="s">
        <v>77</v>
      </c>
      <c r="N733" t="s">
        <v>78</v>
      </c>
      <c r="O733" t="s">
        <v>74</v>
      </c>
      <c r="P733" t="s">
        <v>74</v>
      </c>
      <c r="Q733" t="s">
        <v>74</v>
      </c>
      <c r="R733" t="s">
        <v>74</v>
      </c>
      <c r="S733" t="s">
        <v>74</v>
      </c>
      <c r="T733" t="s">
        <v>74</v>
      </c>
      <c r="U733" t="s">
        <v>8885</v>
      </c>
      <c r="V733" t="s">
        <v>8886</v>
      </c>
      <c r="W733" t="s">
        <v>8887</v>
      </c>
      <c r="X733" t="s">
        <v>5278</v>
      </c>
      <c r="Y733" t="s">
        <v>74</v>
      </c>
      <c r="Z733" t="s">
        <v>74</v>
      </c>
      <c r="AA733" t="s">
        <v>1738</v>
      </c>
      <c r="AB733" t="s">
        <v>74</v>
      </c>
      <c r="AC733" t="s">
        <v>74</v>
      </c>
      <c r="AD733" t="s">
        <v>74</v>
      </c>
      <c r="AE733" t="s">
        <v>74</v>
      </c>
      <c r="AF733" t="s">
        <v>74</v>
      </c>
      <c r="AG733">
        <v>15</v>
      </c>
      <c r="AH733">
        <v>27</v>
      </c>
      <c r="AI733">
        <v>29</v>
      </c>
      <c r="AJ733">
        <v>0</v>
      </c>
      <c r="AK733">
        <v>3</v>
      </c>
      <c r="AL733" t="s">
        <v>451</v>
      </c>
      <c r="AM733" t="s">
        <v>214</v>
      </c>
      <c r="AN733" t="s">
        <v>7151</v>
      </c>
      <c r="AO733" t="s">
        <v>8888</v>
      </c>
      <c r="AP733" t="s">
        <v>74</v>
      </c>
      <c r="AQ733" t="s">
        <v>74</v>
      </c>
      <c r="AR733" t="s">
        <v>8889</v>
      </c>
      <c r="AS733" t="s">
        <v>8890</v>
      </c>
      <c r="AT733" t="s">
        <v>8891</v>
      </c>
      <c r="AU733">
        <v>1997</v>
      </c>
      <c r="AV733">
        <v>38</v>
      </c>
      <c r="AW733">
        <v>43</v>
      </c>
      <c r="AX733" t="s">
        <v>74</v>
      </c>
      <c r="AY733" t="s">
        <v>74</v>
      </c>
      <c r="AZ733" t="s">
        <v>74</v>
      </c>
      <c r="BA733" t="s">
        <v>74</v>
      </c>
      <c r="BB733">
        <v>7507</v>
      </c>
      <c r="BC733">
        <v>7510</v>
      </c>
      <c r="BD733" t="s">
        <v>74</v>
      </c>
      <c r="BE733" t="s">
        <v>8892</v>
      </c>
      <c r="BF733" t="str">
        <f>HYPERLINK("http://dx.doi.org/10.1016/S0040-4039(97)01802-9","http://dx.doi.org/10.1016/S0040-4039(97)01802-9")</f>
        <v>http://dx.doi.org/10.1016/S0040-4039(97)01802-9</v>
      </c>
      <c r="BG733" t="s">
        <v>74</v>
      </c>
      <c r="BH733" t="s">
        <v>74</v>
      </c>
      <c r="BI733">
        <v>4</v>
      </c>
      <c r="BJ733" t="s">
        <v>8893</v>
      </c>
      <c r="BK733" t="s">
        <v>714</v>
      </c>
      <c r="BL733" t="s">
        <v>398</v>
      </c>
      <c r="BM733" t="s">
        <v>8894</v>
      </c>
      <c r="BN733" t="s">
        <v>74</v>
      </c>
      <c r="BO733" t="s">
        <v>74</v>
      </c>
      <c r="BP733" t="s">
        <v>74</v>
      </c>
      <c r="BQ733" t="s">
        <v>74</v>
      </c>
      <c r="BR733" t="s">
        <v>101</v>
      </c>
      <c r="BS733" t="s">
        <v>8895</v>
      </c>
      <c r="BT733" t="str">
        <f>HYPERLINK("https%3A%2F%2Fwww.webofscience.com%2Fwos%2Fwoscc%2Ffull-record%2FWOS:A1997YC43700010","View Full Record in Web of Science")</f>
        <v>View Full Record in Web of Science</v>
      </c>
    </row>
    <row r="734" spans="1:72" x14ac:dyDescent="0.15">
      <c r="A734" t="s">
        <v>72</v>
      </c>
      <c r="B734" t="s">
        <v>8896</v>
      </c>
      <c r="C734" t="s">
        <v>74</v>
      </c>
      <c r="D734" t="s">
        <v>74</v>
      </c>
      <c r="E734" t="s">
        <v>74</v>
      </c>
      <c r="F734" t="s">
        <v>8896</v>
      </c>
      <c r="G734" t="s">
        <v>74</v>
      </c>
      <c r="H734" t="s">
        <v>74</v>
      </c>
      <c r="I734" t="s">
        <v>8897</v>
      </c>
      <c r="J734" t="s">
        <v>1041</v>
      </c>
      <c r="K734" t="s">
        <v>74</v>
      </c>
      <c r="L734" t="s">
        <v>74</v>
      </c>
      <c r="M734" t="s">
        <v>77</v>
      </c>
      <c r="N734" t="s">
        <v>78</v>
      </c>
      <c r="O734" t="s">
        <v>74</v>
      </c>
      <c r="P734" t="s">
        <v>74</v>
      </c>
      <c r="Q734" t="s">
        <v>74</v>
      </c>
      <c r="R734" t="s">
        <v>74</v>
      </c>
      <c r="S734" t="s">
        <v>74</v>
      </c>
      <c r="T734" t="s">
        <v>74</v>
      </c>
      <c r="U734" t="s">
        <v>8898</v>
      </c>
      <c r="V734" t="s">
        <v>8899</v>
      </c>
      <c r="W734" t="s">
        <v>8900</v>
      </c>
      <c r="X734" t="s">
        <v>387</v>
      </c>
      <c r="Y734" t="s">
        <v>74</v>
      </c>
      <c r="Z734" t="s">
        <v>74</v>
      </c>
      <c r="AA734" t="s">
        <v>8901</v>
      </c>
      <c r="AB734" t="s">
        <v>8902</v>
      </c>
      <c r="AC734" t="s">
        <v>74</v>
      </c>
      <c r="AD734" t="s">
        <v>74</v>
      </c>
      <c r="AE734" t="s">
        <v>74</v>
      </c>
      <c r="AF734" t="s">
        <v>74</v>
      </c>
      <c r="AG734">
        <v>56</v>
      </c>
      <c r="AH734">
        <v>7</v>
      </c>
      <c r="AI734">
        <v>7</v>
      </c>
      <c r="AJ734">
        <v>0</v>
      </c>
      <c r="AK734">
        <v>7</v>
      </c>
      <c r="AL734" t="s">
        <v>707</v>
      </c>
      <c r="AM734" t="s">
        <v>88</v>
      </c>
      <c r="AN734" t="s">
        <v>8903</v>
      </c>
      <c r="AO734" t="s">
        <v>1048</v>
      </c>
      <c r="AP734" t="s">
        <v>74</v>
      </c>
      <c r="AQ734" t="s">
        <v>74</v>
      </c>
      <c r="AR734" t="s">
        <v>1049</v>
      </c>
      <c r="AS734" t="s">
        <v>1050</v>
      </c>
      <c r="AT734" t="s">
        <v>8904</v>
      </c>
      <c r="AU734">
        <v>1997</v>
      </c>
      <c r="AV734">
        <v>101</v>
      </c>
      <c r="AW734">
        <v>43</v>
      </c>
      <c r="AX734" t="s">
        <v>74</v>
      </c>
      <c r="AY734" t="s">
        <v>74</v>
      </c>
      <c r="AZ734" t="s">
        <v>74</v>
      </c>
      <c r="BA734" t="s">
        <v>74</v>
      </c>
      <c r="BB734">
        <v>8026</v>
      </c>
      <c r="BC734">
        <v>8034</v>
      </c>
      <c r="BD734" t="s">
        <v>74</v>
      </c>
      <c r="BE734" t="s">
        <v>8905</v>
      </c>
      <c r="BF734" t="str">
        <f>HYPERLINK("http://dx.doi.org/10.1021/jp970948o","http://dx.doi.org/10.1021/jp970948o")</f>
        <v>http://dx.doi.org/10.1021/jp970948o</v>
      </c>
      <c r="BG734" t="s">
        <v>74</v>
      </c>
      <c r="BH734" t="s">
        <v>74</v>
      </c>
      <c r="BI734">
        <v>9</v>
      </c>
      <c r="BJ734" t="s">
        <v>1052</v>
      </c>
      <c r="BK734" t="s">
        <v>98</v>
      </c>
      <c r="BL734" t="s">
        <v>1053</v>
      </c>
      <c r="BM734" t="s">
        <v>8906</v>
      </c>
      <c r="BN734" t="s">
        <v>74</v>
      </c>
      <c r="BO734" t="s">
        <v>74</v>
      </c>
      <c r="BP734" t="s">
        <v>74</v>
      </c>
      <c r="BQ734" t="s">
        <v>74</v>
      </c>
      <c r="BR734" t="s">
        <v>101</v>
      </c>
      <c r="BS734" t="s">
        <v>8907</v>
      </c>
      <c r="BT734" t="str">
        <f>HYPERLINK("https%3A%2F%2Fwww.webofscience.com%2Fwos%2Fwoscc%2Ffull-record%2FWOS:A1997YD60300017","View Full Record in Web of Science")</f>
        <v>View Full Record in Web of Science</v>
      </c>
    </row>
    <row r="735" spans="1:72" x14ac:dyDescent="0.15">
      <c r="A735" t="s">
        <v>72</v>
      </c>
      <c r="B735" t="s">
        <v>8908</v>
      </c>
      <c r="C735" t="s">
        <v>74</v>
      </c>
      <c r="D735" t="s">
        <v>74</v>
      </c>
      <c r="E735" t="s">
        <v>74</v>
      </c>
      <c r="F735" t="s">
        <v>8908</v>
      </c>
      <c r="G735" t="s">
        <v>74</v>
      </c>
      <c r="H735" t="s">
        <v>74</v>
      </c>
      <c r="I735" t="s">
        <v>8909</v>
      </c>
      <c r="J735" t="s">
        <v>192</v>
      </c>
      <c r="K735" t="s">
        <v>74</v>
      </c>
      <c r="L735" t="s">
        <v>74</v>
      </c>
      <c r="M735" t="s">
        <v>77</v>
      </c>
      <c r="N735" t="s">
        <v>78</v>
      </c>
      <c r="O735" t="s">
        <v>74</v>
      </c>
      <c r="P735" t="s">
        <v>74</v>
      </c>
      <c r="Q735" t="s">
        <v>74</v>
      </c>
      <c r="R735" t="s">
        <v>74</v>
      </c>
      <c r="S735" t="s">
        <v>74</v>
      </c>
      <c r="T735" t="s">
        <v>74</v>
      </c>
      <c r="U735" t="s">
        <v>8910</v>
      </c>
      <c r="V735" t="s">
        <v>8911</v>
      </c>
      <c r="W735" t="s">
        <v>8912</v>
      </c>
      <c r="X735" t="s">
        <v>8913</v>
      </c>
      <c r="Y735" t="s">
        <v>8914</v>
      </c>
      <c r="Z735" t="s">
        <v>74</v>
      </c>
      <c r="AA735" t="s">
        <v>8915</v>
      </c>
      <c r="AB735" t="s">
        <v>8916</v>
      </c>
      <c r="AC735" t="s">
        <v>74</v>
      </c>
      <c r="AD735" t="s">
        <v>74</v>
      </c>
      <c r="AE735" t="s">
        <v>74</v>
      </c>
      <c r="AF735" t="s">
        <v>74</v>
      </c>
      <c r="AG735">
        <v>30</v>
      </c>
      <c r="AH735">
        <v>181</v>
      </c>
      <c r="AI735">
        <v>183</v>
      </c>
      <c r="AJ735">
        <v>2</v>
      </c>
      <c r="AK735">
        <v>19</v>
      </c>
      <c r="AL735" t="s">
        <v>200</v>
      </c>
      <c r="AM735" t="s">
        <v>201</v>
      </c>
      <c r="AN735" t="s">
        <v>202</v>
      </c>
      <c r="AO735" t="s">
        <v>203</v>
      </c>
      <c r="AP735" t="s">
        <v>74</v>
      </c>
      <c r="AQ735" t="s">
        <v>74</v>
      </c>
      <c r="AR735" t="s">
        <v>192</v>
      </c>
      <c r="AS735" t="s">
        <v>204</v>
      </c>
      <c r="AT735" t="s">
        <v>8904</v>
      </c>
      <c r="AU735">
        <v>1997</v>
      </c>
      <c r="AV735">
        <v>389</v>
      </c>
      <c r="AW735">
        <v>6653</v>
      </c>
      <c r="AX735" t="s">
        <v>74</v>
      </c>
      <c r="AY735" t="s">
        <v>74</v>
      </c>
      <c r="AZ735" t="s">
        <v>74</v>
      </c>
      <c r="BA735" t="s">
        <v>74</v>
      </c>
      <c r="BB735">
        <v>835</v>
      </c>
      <c r="BC735">
        <v>838</v>
      </c>
      <c r="BD735" t="s">
        <v>74</v>
      </c>
      <c r="BE735" t="s">
        <v>8917</v>
      </c>
      <c r="BF735" t="str">
        <f>HYPERLINK("http://dx.doi.org/10.1038/39849","http://dx.doi.org/10.1038/39849")</f>
        <v>http://dx.doi.org/10.1038/39849</v>
      </c>
      <c r="BG735" t="s">
        <v>74</v>
      </c>
      <c r="BH735" t="s">
        <v>74</v>
      </c>
      <c r="BI735">
        <v>4</v>
      </c>
      <c r="BJ735" t="s">
        <v>186</v>
      </c>
      <c r="BK735" t="s">
        <v>98</v>
      </c>
      <c r="BL735" t="s">
        <v>187</v>
      </c>
      <c r="BM735" t="s">
        <v>8918</v>
      </c>
      <c r="BN735" t="s">
        <v>74</v>
      </c>
      <c r="BO735" t="s">
        <v>74</v>
      </c>
      <c r="BP735" t="s">
        <v>74</v>
      </c>
      <c r="BQ735" t="s">
        <v>74</v>
      </c>
      <c r="BR735" t="s">
        <v>101</v>
      </c>
      <c r="BS735" t="s">
        <v>8919</v>
      </c>
      <c r="BT735" t="str">
        <f>HYPERLINK("https%3A%2F%2Fwww.webofscience.com%2Fwos%2Fwoscc%2Ffull-record%2FWOS:A1997YC14800053","View Full Record in Web of Science")</f>
        <v>View Full Record in Web of Science</v>
      </c>
    </row>
    <row r="736" spans="1:72" x14ac:dyDescent="0.15">
      <c r="A736" t="s">
        <v>72</v>
      </c>
      <c r="B736" t="s">
        <v>8920</v>
      </c>
      <c r="C736" t="s">
        <v>74</v>
      </c>
      <c r="D736" t="s">
        <v>74</v>
      </c>
      <c r="E736" t="s">
        <v>74</v>
      </c>
      <c r="F736" t="s">
        <v>8920</v>
      </c>
      <c r="G736" t="s">
        <v>74</v>
      </c>
      <c r="H736" t="s">
        <v>74</v>
      </c>
      <c r="I736" t="s">
        <v>8921</v>
      </c>
      <c r="J736" t="s">
        <v>994</v>
      </c>
      <c r="K736" t="s">
        <v>74</v>
      </c>
      <c r="L736" t="s">
        <v>74</v>
      </c>
      <c r="M736" t="s">
        <v>77</v>
      </c>
      <c r="N736" t="s">
        <v>78</v>
      </c>
      <c r="O736" t="s">
        <v>74</v>
      </c>
      <c r="P736" t="s">
        <v>74</v>
      </c>
      <c r="Q736" t="s">
        <v>74</v>
      </c>
      <c r="R736" t="s">
        <v>74</v>
      </c>
      <c r="S736" t="s">
        <v>74</v>
      </c>
      <c r="T736" t="s">
        <v>74</v>
      </c>
      <c r="U736" t="s">
        <v>8922</v>
      </c>
      <c r="V736" t="s">
        <v>8923</v>
      </c>
      <c r="W736" t="s">
        <v>74</v>
      </c>
      <c r="X736" t="s">
        <v>74</v>
      </c>
      <c r="Y736" t="s">
        <v>8924</v>
      </c>
      <c r="Z736" t="s">
        <v>74</v>
      </c>
      <c r="AA736" t="s">
        <v>8925</v>
      </c>
      <c r="AB736" t="s">
        <v>74</v>
      </c>
      <c r="AC736" t="s">
        <v>74</v>
      </c>
      <c r="AD736" t="s">
        <v>74</v>
      </c>
      <c r="AE736" t="s">
        <v>74</v>
      </c>
      <c r="AF736" t="s">
        <v>74</v>
      </c>
      <c r="AG736">
        <v>39</v>
      </c>
      <c r="AH736">
        <v>8</v>
      </c>
      <c r="AI736">
        <v>9</v>
      </c>
      <c r="AJ736">
        <v>0</v>
      </c>
      <c r="AK736">
        <v>0</v>
      </c>
      <c r="AL736" t="s">
        <v>87</v>
      </c>
      <c r="AM736" t="s">
        <v>88</v>
      </c>
      <c r="AN736" t="s">
        <v>89</v>
      </c>
      <c r="AO736" t="s">
        <v>1001</v>
      </c>
      <c r="AP736" t="s">
        <v>74</v>
      </c>
      <c r="AQ736" t="s">
        <v>74</v>
      </c>
      <c r="AR736" t="s">
        <v>1002</v>
      </c>
      <c r="AS736" t="s">
        <v>1003</v>
      </c>
      <c r="AT736" t="s">
        <v>8926</v>
      </c>
      <c r="AU736">
        <v>1997</v>
      </c>
      <c r="AV736">
        <v>102</v>
      </c>
      <c r="AW736" t="s">
        <v>8927</v>
      </c>
      <c r="AX736" t="s">
        <v>74</v>
      </c>
      <c r="AY736" t="s">
        <v>74</v>
      </c>
      <c r="AZ736" t="s">
        <v>74</v>
      </c>
      <c r="BA736" t="s">
        <v>74</v>
      </c>
      <c r="BB736">
        <v>23519</v>
      </c>
      <c r="BC736">
        <v>23527</v>
      </c>
      <c r="BD736" t="s">
        <v>74</v>
      </c>
      <c r="BE736" t="s">
        <v>8928</v>
      </c>
      <c r="BF736" t="str">
        <f>HYPERLINK("http://dx.doi.org/10.1029/97JD01556","http://dx.doi.org/10.1029/97JD01556")</f>
        <v>http://dx.doi.org/10.1029/97JD01556</v>
      </c>
      <c r="BG736" t="s">
        <v>74</v>
      </c>
      <c r="BH736" t="s">
        <v>74</v>
      </c>
      <c r="BI736">
        <v>9</v>
      </c>
      <c r="BJ736" t="s">
        <v>635</v>
      </c>
      <c r="BK736" t="s">
        <v>98</v>
      </c>
      <c r="BL736" t="s">
        <v>635</v>
      </c>
      <c r="BM736" t="s">
        <v>8929</v>
      </c>
      <c r="BN736" t="s">
        <v>74</v>
      </c>
      <c r="BO736" t="s">
        <v>74</v>
      </c>
      <c r="BP736" t="s">
        <v>74</v>
      </c>
      <c r="BQ736" t="s">
        <v>74</v>
      </c>
      <c r="BR736" t="s">
        <v>101</v>
      </c>
      <c r="BS736" t="s">
        <v>8930</v>
      </c>
      <c r="BT736" t="str">
        <f>HYPERLINK("https%3A%2F%2Fwww.webofscience.com%2Fwos%2Fwoscc%2Ffull-record%2FWOS:A1997YC17100022","View Full Record in Web of Science")</f>
        <v>View Full Record in Web of Science</v>
      </c>
    </row>
    <row r="737" spans="1:72" x14ac:dyDescent="0.15">
      <c r="A737" t="s">
        <v>72</v>
      </c>
      <c r="B737" t="s">
        <v>8931</v>
      </c>
      <c r="C737" t="s">
        <v>74</v>
      </c>
      <c r="D737" t="s">
        <v>74</v>
      </c>
      <c r="E737" t="s">
        <v>74</v>
      </c>
      <c r="F737" t="s">
        <v>8931</v>
      </c>
      <c r="G737" t="s">
        <v>74</v>
      </c>
      <c r="H737" t="s">
        <v>74</v>
      </c>
      <c r="I737" t="s">
        <v>8932</v>
      </c>
      <c r="J737" t="s">
        <v>994</v>
      </c>
      <c r="K737" t="s">
        <v>74</v>
      </c>
      <c r="L737" t="s">
        <v>74</v>
      </c>
      <c r="M737" t="s">
        <v>77</v>
      </c>
      <c r="N737" t="s">
        <v>78</v>
      </c>
      <c r="O737" t="s">
        <v>74</v>
      </c>
      <c r="P737" t="s">
        <v>74</v>
      </c>
      <c r="Q737" t="s">
        <v>74</v>
      </c>
      <c r="R737" t="s">
        <v>74</v>
      </c>
      <c r="S737" t="s">
        <v>74</v>
      </c>
      <c r="T737" t="s">
        <v>74</v>
      </c>
      <c r="U737" t="s">
        <v>8933</v>
      </c>
      <c r="V737" t="s">
        <v>8934</v>
      </c>
      <c r="W737" t="s">
        <v>8935</v>
      </c>
      <c r="X737" t="s">
        <v>8936</v>
      </c>
      <c r="Y737" t="s">
        <v>8937</v>
      </c>
      <c r="Z737" t="s">
        <v>74</v>
      </c>
      <c r="AA737" t="s">
        <v>74</v>
      </c>
      <c r="AB737" t="s">
        <v>74</v>
      </c>
      <c r="AC737" t="s">
        <v>74</v>
      </c>
      <c r="AD737" t="s">
        <v>74</v>
      </c>
      <c r="AE737" t="s">
        <v>74</v>
      </c>
      <c r="AF737" t="s">
        <v>74</v>
      </c>
      <c r="AG737">
        <v>40</v>
      </c>
      <c r="AH737">
        <v>22</v>
      </c>
      <c r="AI737">
        <v>22</v>
      </c>
      <c r="AJ737">
        <v>1</v>
      </c>
      <c r="AK737">
        <v>5</v>
      </c>
      <c r="AL737" t="s">
        <v>87</v>
      </c>
      <c r="AM737" t="s">
        <v>88</v>
      </c>
      <c r="AN737" t="s">
        <v>89</v>
      </c>
      <c r="AO737" t="s">
        <v>1001</v>
      </c>
      <c r="AP737" t="s">
        <v>74</v>
      </c>
      <c r="AQ737" t="s">
        <v>74</v>
      </c>
      <c r="AR737" t="s">
        <v>1002</v>
      </c>
      <c r="AS737" t="s">
        <v>1003</v>
      </c>
      <c r="AT737" t="s">
        <v>8926</v>
      </c>
      <c r="AU737">
        <v>1997</v>
      </c>
      <c r="AV737">
        <v>102</v>
      </c>
      <c r="AW737" t="s">
        <v>8927</v>
      </c>
      <c r="AX737" t="s">
        <v>74</v>
      </c>
      <c r="AY737" t="s">
        <v>74</v>
      </c>
      <c r="AZ737" t="s">
        <v>74</v>
      </c>
      <c r="BA737" t="s">
        <v>74</v>
      </c>
      <c r="BB737">
        <v>23543</v>
      </c>
      <c r="BC737">
        <v>23557</v>
      </c>
      <c r="BD737" t="s">
        <v>74</v>
      </c>
      <c r="BE737" t="s">
        <v>8938</v>
      </c>
      <c r="BF737" t="str">
        <f>HYPERLINK("http://dx.doi.org/10.1029/97JD01655","http://dx.doi.org/10.1029/97JD01655")</f>
        <v>http://dx.doi.org/10.1029/97JD01655</v>
      </c>
      <c r="BG737" t="s">
        <v>74</v>
      </c>
      <c r="BH737" t="s">
        <v>74</v>
      </c>
      <c r="BI737">
        <v>15</v>
      </c>
      <c r="BJ737" t="s">
        <v>635</v>
      </c>
      <c r="BK737" t="s">
        <v>98</v>
      </c>
      <c r="BL737" t="s">
        <v>635</v>
      </c>
      <c r="BM737" t="s">
        <v>8929</v>
      </c>
      <c r="BN737" t="s">
        <v>74</v>
      </c>
      <c r="BO737" t="s">
        <v>100</v>
      </c>
      <c r="BP737" t="s">
        <v>74</v>
      </c>
      <c r="BQ737" t="s">
        <v>74</v>
      </c>
      <c r="BR737" t="s">
        <v>101</v>
      </c>
      <c r="BS737" t="s">
        <v>8939</v>
      </c>
      <c r="BT737" t="str">
        <f>HYPERLINK("https%3A%2F%2Fwww.webofscience.com%2Fwos%2Fwoscc%2Ffull-record%2FWOS:A1997YC17100024","View Full Record in Web of Science")</f>
        <v>View Full Record in Web of Science</v>
      </c>
    </row>
    <row r="738" spans="1:72" x14ac:dyDescent="0.15">
      <c r="A738" t="s">
        <v>72</v>
      </c>
      <c r="B738" t="s">
        <v>8940</v>
      </c>
      <c r="C738" t="s">
        <v>74</v>
      </c>
      <c r="D738" t="s">
        <v>74</v>
      </c>
      <c r="E738" t="s">
        <v>74</v>
      </c>
      <c r="F738" t="s">
        <v>8940</v>
      </c>
      <c r="G738" t="s">
        <v>74</v>
      </c>
      <c r="H738" t="s">
        <v>74</v>
      </c>
      <c r="I738" t="s">
        <v>8941</v>
      </c>
      <c r="J738" t="s">
        <v>994</v>
      </c>
      <c r="K738" t="s">
        <v>74</v>
      </c>
      <c r="L738" t="s">
        <v>74</v>
      </c>
      <c r="M738" t="s">
        <v>77</v>
      </c>
      <c r="N738" t="s">
        <v>78</v>
      </c>
      <c r="O738" t="s">
        <v>74</v>
      </c>
      <c r="P738" t="s">
        <v>74</v>
      </c>
      <c r="Q738" t="s">
        <v>74</v>
      </c>
      <c r="R738" t="s">
        <v>74</v>
      </c>
      <c r="S738" t="s">
        <v>74</v>
      </c>
      <c r="T738" t="s">
        <v>74</v>
      </c>
      <c r="U738" t="s">
        <v>8942</v>
      </c>
      <c r="V738" t="s">
        <v>8943</v>
      </c>
      <c r="W738" t="s">
        <v>8944</v>
      </c>
      <c r="X738" t="s">
        <v>8945</v>
      </c>
      <c r="Y738" t="s">
        <v>8946</v>
      </c>
      <c r="Z738" t="s">
        <v>74</v>
      </c>
      <c r="AA738" t="s">
        <v>8947</v>
      </c>
      <c r="AB738" t="s">
        <v>8948</v>
      </c>
      <c r="AC738" t="s">
        <v>74</v>
      </c>
      <c r="AD738" t="s">
        <v>74</v>
      </c>
      <c r="AE738" t="s">
        <v>74</v>
      </c>
      <c r="AF738" t="s">
        <v>74</v>
      </c>
      <c r="AG738">
        <v>72</v>
      </c>
      <c r="AH738">
        <v>33</v>
      </c>
      <c r="AI738">
        <v>33</v>
      </c>
      <c r="AJ738">
        <v>0</v>
      </c>
      <c r="AK738">
        <v>5</v>
      </c>
      <c r="AL738" t="s">
        <v>87</v>
      </c>
      <c r="AM738" t="s">
        <v>88</v>
      </c>
      <c r="AN738" t="s">
        <v>89</v>
      </c>
      <c r="AO738" t="s">
        <v>1001</v>
      </c>
      <c r="AP738" t="s">
        <v>74</v>
      </c>
      <c r="AQ738" t="s">
        <v>74</v>
      </c>
      <c r="AR738" t="s">
        <v>1002</v>
      </c>
      <c r="AS738" t="s">
        <v>1003</v>
      </c>
      <c r="AT738" t="s">
        <v>8926</v>
      </c>
      <c r="AU738">
        <v>1997</v>
      </c>
      <c r="AV738">
        <v>102</v>
      </c>
      <c r="AW738" t="s">
        <v>8927</v>
      </c>
      <c r="AX738" t="s">
        <v>74</v>
      </c>
      <c r="AY738" t="s">
        <v>74</v>
      </c>
      <c r="AZ738" t="s">
        <v>74</v>
      </c>
      <c r="BA738" t="s">
        <v>74</v>
      </c>
      <c r="BB738">
        <v>23559</v>
      </c>
      <c r="BC738">
        <v>23571</v>
      </c>
      <c r="BD738" t="s">
        <v>74</v>
      </c>
      <c r="BE738" t="s">
        <v>8949</v>
      </c>
      <c r="BF738" t="str">
        <f>HYPERLINK("http://dx.doi.org/10.1029/97JD02012","http://dx.doi.org/10.1029/97JD02012")</f>
        <v>http://dx.doi.org/10.1029/97JD02012</v>
      </c>
      <c r="BG738" t="s">
        <v>74</v>
      </c>
      <c r="BH738" t="s">
        <v>74</v>
      </c>
      <c r="BI738">
        <v>13</v>
      </c>
      <c r="BJ738" t="s">
        <v>635</v>
      </c>
      <c r="BK738" t="s">
        <v>98</v>
      </c>
      <c r="BL738" t="s">
        <v>635</v>
      </c>
      <c r="BM738" t="s">
        <v>8929</v>
      </c>
      <c r="BN738" t="s">
        <v>74</v>
      </c>
      <c r="BO738" t="s">
        <v>100</v>
      </c>
      <c r="BP738" t="s">
        <v>74</v>
      </c>
      <c r="BQ738" t="s">
        <v>74</v>
      </c>
      <c r="BR738" t="s">
        <v>101</v>
      </c>
      <c r="BS738" t="s">
        <v>8950</v>
      </c>
      <c r="BT738" t="str">
        <f>HYPERLINK("https%3A%2F%2Fwww.webofscience.com%2Fwos%2Fwoscc%2Ffull-record%2FWOS:A1997YC17100025","View Full Record in Web of Science")</f>
        <v>View Full Record in Web of Science</v>
      </c>
    </row>
    <row r="739" spans="1:72" x14ac:dyDescent="0.15">
      <c r="A739" t="s">
        <v>72</v>
      </c>
      <c r="B739" t="s">
        <v>8951</v>
      </c>
      <c r="C739" t="s">
        <v>74</v>
      </c>
      <c r="D739" t="s">
        <v>74</v>
      </c>
      <c r="E739" t="s">
        <v>74</v>
      </c>
      <c r="F739" t="s">
        <v>8951</v>
      </c>
      <c r="G739" t="s">
        <v>74</v>
      </c>
      <c r="H739" t="s">
        <v>74</v>
      </c>
      <c r="I739" t="s">
        <v>8952</v>
      </c>
      <c r="J739" t="s">
        <v>994</v>
      </c>
      <c r="K739" t="s">
        <v>74</v>
      </c>
      <c r="L739" t="s">
        <v>74</v>
      </c>
      <c r="M739" t="s">
        <v>77</v>
      </c>
      <c r="N739" t="s">
        <v>78</v>
      </c>
      <c r="O739" t="s">
        <v>74</v>
      </c>
      <c r="P739" t="s">
        <v>74</v>
      </c>
      <c r="Q739" t="s">
        <v>74</v>
      </c>
      <c r="R739" t="s">
        <v>74</v>
      </c>
      <c r="S739" t="s">
        <v>74</v>
      </c>
      <c r="T739" t="s">
        <v>74</v>
      </c>
      <c r="U739" t="s">
        <v>8953</v>
      </c>
      <c r="V739" t="s">
        <v>8954</v>
      </c>
      <c r="W739" t="s">
        <v>8955</v>
      </c>
      <c r="X739" t="s">
        <v>8956</v>
      </c>
      <c r="Y739" t="s">
        <v>8957</v>
      </c>
      <c r="Z739" t="s">
        <v>74</v>
      </c>
      <c r="AA739" t="s">
        <v>8958</v>
      </c>
      <c r="AB739" t="s">
        <v>8959</v>
      </c>
      <c r="AC739" t="s">
        <v>74</v>
      </c>
      <c r="AD739" t="s">
        <v>74</v>
      </c>
      <c r="AE739" t="s">
        <v>74</v>
      </c>
      <c r="AF739" t="s">
        <v>74</v>
      </c>
      <c r="AG739">
        <v>36</v>
      </c>
      <c r="AH739">
        <v>28</v>
      </c>
      <c r="AI739">
        <v>28</v>
      </c>
      <c r="AJ739">
        <v>0</v>
      </c>
      <c r="AK739">
        <v>2</v>
      </c>
      <c r="AL739" t="s">
        <v>87</v>
      </c>
      <c r="AM739" t="s">
        <v>88</v>
      </c>
      <c r="AN739" t="s">
        <v>89</v>
      </c>
      <c r="AO739" t="s">
        <v>1001</v>
      </c>
      <c r="AP739" t="s">
        <v>74</v>
      </c>
      <c r="AQ739" t="s">
        <v>74</v>
      </c>
      <c r="AR739" t="s">
        <v>1002</v>
      </c>
      <c r="AS739" t="s">
        <v>1003</v>
      </c>
      <c r="AT739" t="s">
        <v>8926</v>
      </c>
      <c r="AU739">
        <v>1997</v>
      </c>
      <c r="AV739">
        <v>102</v>
      </c>
      <c r="AW739" t="s">
        <v>8927</v>
      </c>
      <c r="AX739" t="s">
        <v>74</v>
      </c>
      <c r="AY739" t="s">
        <v>74</v>
      </c>
      <c r="AZ739" t="s">
        <v>74</v>
      </c>
      <c r="BA739" t="s">
        <v>74</v>
      </c>
      <c r="BB739">
        <v>23643</v>
      </c>
      <c r="BC739">
        <v>23657</v>
      </c>
      <c r="BD739" t="s">
        <v>74</v>
      </c>
      <c r="BE739" t="s">
        <v>8960</v>
      </c>
      <c r="BF739" t="str">
        <f>HYPERLINK("http://dx.doi.org/10.1029/97JD01623","http://dx.doi.org/10.1029/97JD01623")</f>
        <v>http://dx.doi.org/10.1029/97JD01623</v>
      </c>
      <c r="BG739" t="s">
        <v>74</v>
      </c>
      <c r="BH739" t="s">
        <v>74</v>
      </c>
      <c r="BI739">
        <v>15</v>
      </c>
      <c r="BJ739" t="s">
        <v>635</v>
      </c>
      <c r="BK739" t="s">
        <v>98</v>
      </c>
      <c r="BL739" t="s">
        <v>635</v>
      </c>
      <c r="BM739" t="s">
        <v>8929</v>
      </c>
      <c r="BN739" t="s">
        <v>74</v>
      </c>
      <c r="BO739" t="s">
        <v>100</v>
      </c>
      <c r="BP739" t="s">
        <v>74</v>
      </c>
      <c r="BQ739" t="s">
        <v>74</v>
      </c>
      <c r="BR739" t="s">
        <v>101</v>
      </c>
      <c r="BS739" t="s">
        <v>8961</v>
      </c>
      <c r="BT739" t="str">
        <f>HYPERLINK("https%3A%2F%2Fwww.webofscience.com%2Fwos%2Fwoscc%2Ffull-record%2FWOS:A1997YC17100034","View Full Record in Web of Science")</f>
        <v>View Full Record in Web of Science</v>
      </c>
    </row>
    <row r="740" spans="1:72" x14ac:dyDescent="0.15">
      <c r="A740" t="s">
        <v>72</v>
      </c>
      <c r="B740" t="s">
        <v>8962</v>
      </c>
      <c r="C740" t="s">
        <v>74</v>
      </c>
      <c r="D740" t="s">
        <v>74</v>
      </c>
      <c r="E740" t="s">
        <v>74</v>
      </c>
      <c r="F740" t="s">
        <v>8962</v>
      </c>
      <c r="G740" t="s">
        <v>74</v>
      </c>
      <c r="H740" t="s">
        <v>74</v>
      </c>
      <c r="I740" t="s">
        <v>8963</v>
      </c>
      <c r="J740" t="s">
        <v>994</v>
      </c>
      <c r="K740" t="s">
        <v>74</v>
      </c>
      <c r="L740" t="s">
        <v>74</v>
      </c>
      <c r="M740" t="s">
        <v>77</v>
      </c>
      <c r="N740" t="s">
        <v>78</v>
      </c>
      <c r="O740" t="s">
        <v>74</v>
      </c>
      <c r="P740" t="s">
        <v>74</v>
      </c>
      <c r="Q740" t="s">
        <v>74</v>
      </c>
      <c r="R740" t="s">
        <v>74</v>
      </c>
      <c r="S740" t="s">
        <v>74</v>
      </c>
      <c r="T740" t="s">
        <v>74</v>
      </c>
      <c r="U740" t="s">
        <v>8964</v>
      </c>
      <c r="V740" t="s">
        <v>8965</v>
      </c>
      <c r="W740" t="s">
        <v>8966</v>
      </c>
      <c r="X740" t="s">
        <v>8967</v>
      </c>
      <c r="Y740" t="s">
        <v>8968</v>
      </c>
      <c r="Z740" t="s">
        <v>74</v>
      </c>
      <c r="AA740" t="s">
        <v>8969</v>
      </c>
      <c r="AB740" t="s">
        <v>74</v>
      </c>
      <c r="AC740" t="s">
        <v>74</v>
      </c>
      <c r="AD740" t="s">
        <v>74</v>
      </c>
      <c r="AE740" t="s">
        <v>74</v>
      </c>
      <c r="AF740" t="s">
        <v>74</v>
      </c>
      <c r="AG740">
        <v>26</v>
      </c>
      <c r="AH740">
        <v>55</v>
      </c>
      <c r="AI740">
        <v>56</v>
      </c>
      <c r="AJ740">
        <v>0</v>
      </c>
      <c r="AK740">
        <v>7</v>
      </c>
      <c r="AL740" t="s">
        <v>87</v>
      </c>
      <c r="AM740" t="s">
        <v>88</v>
      </c>
      <c r="AN740" t="s">
        <v>89</v>
      </c>
      <c r="AO740" t="s">
        <v>1001</v>
      </c>
      <c r="AP740" t="s">
        <v>74</v>
      </c>
      <c r="AQ740" t="s">
        <v>74</v>
      </c>
      <c r="AR740" t="s">
        <v>1002</v>
      </c>
      <c r="AS740" t="s">
        <v>1003</v>
      </c>
      <c r="AT740" t="s">
        <v>8926</v>
      </c>
      <c r="AU740">
        <v>1997</v>
      </c>
      <c r="AV740">
        <v>102</v>
      </c>
      <c r="AW740" t="s">
        <v>8927</v>
      </c>
      <c r="AX740" t="s">
        <v>74</v>
      </c>
      <c r="AY740" t="s">
        <v>74</v>
      </c>
      <c r="AZ740" t="s">
        <v>74</v>
      </c>
      <c r="BA740" t="s">
        <v>74</v>
      </c>
      <c r="BB740">
        <v>23659</v>
      </c>
      <c r="BC740">
        <v>23672</v>
      </c>
      <c r="BD740" t="s">
        <v>74</v>
      </c>
      <c r="BE740" t="s">
        <v>8970</v>
      </c>
      <c r="BF740" t="str">
        <f>HYPERLINK("http://dx.doi.org/10.1029/97JD00794","http://dx.doi.org/10.1029/97JD00794")</f>
        <v>http://dx.doi.org/10.1029/97JD00794</v>
      </c>
      <c r="BG740" t="s">
        <v>74</v>
      </c>
      <c r="BH740" t="s">
        <v>74</v>
      </c>
      <c r="BI740">
        <v>14</v>
      </c>
      <c r="BJ740" t="s">
        <v>635</v>
      </c>
      <c r="BK740" t="s">
        <v>98</v>
      </c>
      <c r="BL740" t="s">
        <v>635</v>
      </c>
      <c r="BM740" t="s">
        <v>8929</v>
      </c>
      <c r="BN740" t="s">
        <v>74</v>
      </c>
      <c r="BO740" t="s">
        <v>100</v>
      </c>
      <c r="BP740" t="s">
        <v>74</v>
      </c>
      <c r="BQ740" t="s">
        <v>74</v>
      </c>
      <c r="BR740" t="s">
        <v>101</v>
      </c>
      <c r="BS740" t="s">
        <v>8971</v>
      </c>
      <c r="BT740" t="str">
        <f>HYPERLINK("https%3A%2F%2Fwww.webofscience.com%2Fwos%2Fwoscc%2Ffull-record%2FWOS:A1997YC17100035","View Full Record in Web of Science")</f>
        <v>View Full Record in Web of Science</v>
      </c>
    </row>
    <row r="741" spans="1:72" x14ac:dyDescent="0.15">
      <c r="A741" t="s">
        <v>72</v>
      </c>
      <c r="B741" t="s">
        <v>8972</v>
      </c>
      <c r="C741" t="s">
        <v>74</v>
      </c>
      <c r="D741" t="s">
        <v>74</v>
      </c>
      <c r="E741" t="s">
        <v>74</v>
      </c>
      <c r="F741" t="s">
        <v>8972</v>
      </c>
      <c r="G741" t="s">
        <v>74</v>
      </c>
      <c r="H741" t="s">
        <v>74</v>
      </c>
      <c r="I741" t="s">
        <v>8973</v>
      </c>
      <c r="J741" t="s">
        <v>8974</v>
      </c>
      <c r="K741" t="s">
        <v>74</v>
      </c>
      <c r="L741" t="s">
        <v>74</v>
      </c>
      <c r="M741" t="s">
        <v>77</v>
      </c>
      <c r="N741" t="s">
        <v>494</v>
      </c>
      <c r="O741" t="s">
        <v>74</v>
      </c>
      <c r="P741" t="s">
        <v>74</v>
      </c>
      <c r="Q741" t="s">
        <v>74</v>
      </c>
      <c r="R741" t="s">
        <v>74</v>
      </c>
      <c r="S741" t="s">
        <v>74</v>
      </c>
      <c r="T741" t="s">
        <v>8975</v>
      </c>
      <c r="U741" t="s">
        <v>8976</v>
      </c>
      <c r="V741" t="s">
        <v>8977</v>
      </c>
      <c r="W741" t="s">
        <v>74</v>
      </c>
      <c r="X741" t="s">
        <v>74</v>
      </c>
      <c r="Y741" t="s">
        <v>8978</v>
      </c>
      <c r="Z741" t="s">
        <v>74</v>
      </c>
      <c r="AA741" t="s">
        <v>74</v>
      </c>
      <c r="AB741" t="s">
        <v>74</v>
      </c>
      <c r="AC741" t="s">
        <v>74</v>
      </c>
      <c r="AD741" t="s">
        <v>74</v>
      </c>
      <c r="AE741" t="s">
        <v>74</v>
      </c>
      <c r="AF741" t="s">
        <v>74</v>
      </c>
      <c r="AG741">
        <v>51</v>
      </c>
      <c r="AH741">
        <v>241</v>
      </c>
      <c r="AI741">
        <v>276</v>
      </c>
      <c r="AJ741">
        <v>2</v>
      </c>
      <c r="AK741">
        <v>53</v>
      </c>
      <c r="AL741" t="s">
        <v>1029</v>
      </c>
      <c r="AM741" t="s">
        <v>1030</v>
      </c>
      <c r="AN741" t="s">
        <v>1031</v>
      </c>
      <c r="AO741" t="s">
        <v>8979</v>
      </c>
      <c r="AP741" t="s">
        <v>74</v>
      </c>
      <c r="AQ741" t="s">
        <v>74</v>
      </c>
      <c r="AR741" t="s">
        <v>8980</v>
      </c>
      <c r="AS741" t="s">
        <v>8981</v>
      </c>
      <c r="AT741" t="s">
        <v>8982</v>
      </c>
      <c r="AU741">
        <v>1997</v>
      </c>
      <c r="AV741">
        <v>1342</v>
      </c>
      <c r="AW741">
        <v>2</v>
      </c>
      <c r="AX741" t="s">
        <v>74</v>
      </c>
      <c r="AY741" t="s">
        <v>74</v>
      </c>
      <c r="AZ741" t="s">
        <v>74</v>
      </c>
      <c r="BA741" t="s">
        <v>74</v>
      </c>
      <c r="BB741">
        <v>119</v>
      </c>
      <c r="BC741">
        <v>131</v>
      </c>
      <c r="BD741" t="s">
        <v>74</v>
      </c>
      <c r="BE741" t="s">
        <v>8983</v>
      </c>
      <c r="BF741" t="str">
        <f>HYPERLINK("http://dx.doi.org/10.1016/S0167-4838(97)00093-9","http://dx.doi.org/10.1016/S0167-4838(97)00093-9")</f>
        <v>http://dx.doi.org/10.1016/S0167-4838(97)00093-9</v>
      </c>
      <c r="BG741" t="s">
        <v>74</v>
      </c>
      <c r="BH741" t="s">
        <v>74</v>
      </c>
      <c r="BI741">
        <v>13</v>
      </c>
      <c r="BJ741" t="s">
        <v>7774</v>
      </c>
      <c r="BK741" t="s">
        <v>98</v>
      </c>
      <c r="BL741" t="s">
        <v>7774</v>
      </c>
      <c r="BM741" t="s">
        <v>8984</v>
      </c>
      <c r="BN741">
        <v>9392521</v>
      </c>
      <c r="BO741" t="s">
        <v>74</v>
      </c>
      <c r="BP741" t="s">
        <v>74</v>
      </c>
      <c r="BQ741" t="s">
        <v>74</v>
      </c>
      <c r="BR741" t="s">
        <v>101</v>
      </c>
      <c r="BS741" t="s">
        <v>8985</v>
      </c>
      <c r="BT741" t="str">
        <f>HYPERLINK("https%3A%2F%2Fwww.webofscience.com%2Fwos%2Fwoscc%2Ffull-record%2FWOS:A1997YG31200003","View Full Record in Web of Science")</f>
        <v>View Full Record in Web of Science</v>
      </c>
    </row>
    <row r="742" spans="1:72" x14ac:dyDescent="0.15">
      <c r="A742" t="s">
        <v>72</v>
      </c>
      <c r="B742" t="s">
        <v>8986</v>
      </c>
      <c r="C742" t="s">
        <v>74</v>
      </c>
      <c r="D742" t="s">
        <v>74</v>
      </c>
      <c r="E742" t="s">
        <v>74</v>
      </c>
      <c r="F742" t="s">
        <v>8986</v>
      </c>
      <c r="G742" t="s">
        <v>74</v>
      </c>
      <c r="H742" t="s">
        <v>74</v>
      </c>
      <c r="I742" t="s">
        <v>8987</v>
      </c>
      <c r="J742" t="s">
        <v>192</v>
      </c>
      <c r="K742" t="s">
        <v>74</v>
      </c>
      <c r="L742" t="s">
        <v>74</v>
      </c>
      <c r="M742" t="s">
        <v>77</v>
      </c>
      <c r="N742" t="s">
        <v>78</v>
      </c>
      <c r="O742" t="s">
        <v>74</v>
      </c>
      <c r="P742" t="s">
        <v>74</v>
      </c>
      <c r="Q742" t="s">
        <v>74</v>
      </c>
      <c r="R742" t="s">
        <v>74</v>
      </c>
      <c r="S742" t="s">
        <v>74</v>
      </c>
      <c r="T742" t="s">
        <v>74</v>
      </c>
      <c r="U742" t="s">
        <v>8988</v>
      </c>
      <c r="V742" t="s">
        <v>8989</v>
      </c>
      <c r="W742" t="s">
        <v>8990</v>
      </c>
      <c r="X742" t="s">
        <v>8991</v>
      </c>
      <c r="Y742" t="s">
        <v>8992</v>
      </c>
      <c r="Z742" t="s">
        <v>74</v>
      </c>
      <c r="AA742" t="s">
        <v>8993</v>
      </c>
      <c r="AB742" t="s">
        <v>8994</v>
      </c>
      <c r="AC742" t="s">
        <v>74</v>
      </c>
      <c r="AD742" t="s">
        <v>74</v>
      </c>
      <c r="AE742" t="s">
        <v>74</v>
      </c>
      <c r="AF742" t="s">
        <v>74</v>
      </c>
      <c r="AG742">
        <v>36</v>
      </c>
      <c r="AH742">
        <v>137</v>
      </c>
      <c r="AI742">
        <v>140</v>
      </c>
      <c r="AJ742">
        <v>1</v>
      </c>
      <c r="AK742">
        <v>30</v>
      </c>
      <c r="AL742" t="s">
        <v>1065</v>
      </c>
      <c r="AM742" t="s">
        <v>201</v>
      </c>
      <c r="AN742" t="s">
        <v>1066</v>
      </c>
      <c r="AO742" t="s">
        <v>203</v>
      </c>
      <c r="AP742" t="s">
        <v>74</v>
      </c>
      <c r="AQ742" t="s">
        <v>74</v>
      </c>
      <c r="AR742" t="s">
        <v>192</v>
      </c>
      <c r="AS742" t="s">
        <v>204</v>
      </c>
      <c r="AT742" t="s">
        <v>8995</v>
      </c>
      <c r="AU742">
        <v>1997</v>
      </c>
      <c r="AV742">
        <v>389</v>
      </c>
      <c r="AW742">
        <v>6652</v>
      </c>
      <c r="AX742" t="s">
        <v>74</v>
      </c>
      <c r="AY742" t="s">
        <v>74</v>
      </c>
      <c r="AZ742" t="s">
        <v>74</v>
      </c>
      <c r="BA742" t="s">
        <v>74</v>
      </c>
      <c r="BB742">
        <v>709</v>
      </c>
      <c r="BC742">
        <v>712</v>
      </c>
      <c r="BD742" t="s">
        <v>74</v>
      </c>
      <c r="BE742" t="s">
        <v>8996</v>
      </c>
      <c r="BF742" t="str">
        <f>HYPERLINK("http://dx.doi.org/10.1038/39564","http://dx.doi.org/10.1038/39564")</f>
        <v>http://dx.doi.org/10.1038/39564</v>
      </c>
      <c r="BG742" t="s">
        <v>74</v>
      </c>
      <c r="BH742" t="s">
        <v>74</v>
      </c>
      <c r="BI742">
        <v>4</v>
      </c>
      <c r="BJ742" t="s">
        <v>186</v>
      </c>
      <c r="BK742" t="s">
        <v>98</v>
      </c>
      <c r="BL742" t="s">
        <v>187</v>
      </c>
      <c r="BM742" t="s">
        <v>8997</v>
      </c>
      <c r="BN742" t="s">
        <v>74</v>
      </c>
      <c r="BO742" t="s">
        <v>74</v>
      </c>
      <c r="BP742" t="s">
        <v>74</v>
      </c>
      <c r="BQ742" t="s">
        <v>74</v>
      </c>
      <c r="BR742" t="s">
        <v>101</v>
      </c>
      <c r="BS742" t="s">
        <v>8998</v>
      </c>
      <c r="BT742" t="str">
        <f>HYPERLINK("https%3A%2F%2Fwww.webofscience.com%2Fwos%2Fwoscc%2Ffull-record%2FWOS:A1997YA95900049","View Full Record in Web of Science")</f>
        <v>View Full Record in Web of Science</v>
      </c>
    </row>
    <row r="743" spans="1:72" x14ac:dyDescent="0.15">
      <c r="A743" t="s">
        <v>72</v>
      </c>
      <c r="B743" t="s">
        <v>8999</v>
      </c>
      <c r="C743" t="s">
        <v>74</v>
      </c>
      <c r="D743" t="s">
        <v>74</v>
      </c>
      <c r="E743" t="s">
        <v>74</v>
      </c>
      <c r="F743" t="s">
        <v>8999</v>
      </c>
      <c r="G743" t="s">
        <v>74</v>
      </c>
      <c r="H743" t="s">
        <v>74</v>
      </c>
      <c r="I743" t="s">
        <v>9000</v>
      </c>
      <c r="J743" t="s">
        <v>9001</v>
      </c>
      <c r="K743" t="s">
        <v>74</v>
      </c>
      <c r="L743" t="s">
        <v>74</v>
      </c>
      <c r="M743" t="s">
        <v>77</v>
      </c>
      <c r="N743" t="s">
        <v>78</v>
      </c>
      <c r="O743" t="s">
        <v>74</v>
      </c>
      <c r="P743" t="s">
        <v>74</v>
      </c>
      <c r="Q743" t="s">
        <v>74</v>
      </c>
      <c r="R743" t="s">
        <v>74</v>
      </c>
      <c r="S743" t="s">
        <v>74</v>
      </c>
      <c r="T743" t="s">
        <v>74</v>
      </c>
      <c r="U743" t="s">
        <v>9002</v>
      </c>
      <c r="V743" t="s">
        <v>9003</v>
      </c>
      <c r="W743" t="s">
        <v>9004</v>
      </c>
      <c r="X743" t="s">
        <v>9005</v>
      </c>
      <c r="Y743" t="s">
        <v>74</v>
      </c>
      <c r="Z743" t="s">
        <v>74</v>
      </c>
      <c r="AA743" t="s">
        <v>9006</v>
      </c>
      <c r="AB743" t="s">
        <v>9007</v>
      </c>
      <c r="AC743" t="s">
        <v>74</v>
      </c>
      <c r="AD743" t="s">
        <v>74</v>
      </c>
      <c r="AE743" t="s">
        <v>74</v>
      </c>
      <c r="AF743" t="s">
        <v>74</v>
      </c>
      <c r="AG743">
        <v>50</v>
      </c>
      <c r="AH743">
        <v>428</v>
      </c>
      <c r="AI743">
        <v>527</v>
      </c>
      <c r="AJ743">
        <v>5</v>
      </c>
      <c r="AK743">
        <v>163</v>
      </c>
      <c r="AL743" t="s">
        <v>707</v>
      </c>
      <c r="AM743" t="s">
        <v>88</v>
      </c>
      <c r="AN743" t="s">
        <v>8903</v>
      </c>
      <c r="AO743" t="s">
        <v>9008</v>
      </c>
      <c r="AP743" t="s">
        <v>74</v>
      </c>
      <c r="AQ743" t="s">
        <v>74</v>
      </c>
      <c r="AR743" t="s">
        <v>9009</v>
      </c>
      <c r="AS743" t="s">
        <v>9010</v>
      </c>
      <c r="AT743" t="s">
        <v>9011</v>
      </c>
      <c r="AU743">
        <v>1997</v>
      </c>
      <c r="AV743">
        <v>69</v>
      </c>
      <c r="AW743">
        <v>20</v>
      </c>
      <c r="AX743" t="s">
        <v>74</v>
      </c>
      <c r="AY743" t="s">
        <v>74</v>
      </c>
      <c r="AZ743" t="s">
        <v>74</v>
      </c>
      <c r="BA743" t="s">
        <v>74</v>
      </c>
      <c r="BB743">
        <v>4083</v>
      </c>
      <c r="BC743">
        <v>4091</v>
      </c>
      <c r="BD743" t="s">
        <v>74</v>
      </c>
      <c r="BE743" t="s">
        <v>9012</v>
      </c>
      <c r="BF743" t="str">
        <f>HYPERLINK("http://dx.doi.org/10.1021/ac970540n","http://dx.doi.org/10.1021/ac970540n")</f>
        <v>http://dx.doi.org/10.1021/ac970540n</v>
      </c>
      <c r="BG743" t="s">
        <v>74</v>
      </c>
      <c r="BH743" t="s">
        <v>74</v>
      </c>
      <c r="BI743">
        <v>9</v>
      </c>
      <c r="BJ743" t="s">
        <v>1564</v>
      </c>
      <c r="BK743" t="s">
        <v>98</v>
      </c>
      <c r="BL743" t="s">
        <v>398</v>
      </c>
      <c r="BM743" t="s">
        <v>9013</v>
      </c>
      <c r="BN743" t="s">
        <v>74</v>
      </c>
      <c r="BO743" t="s">
        <v>74</v>
      </c>
      <c r="BP743" t="s">
        <v>74</v>
      </c>
      <c r="BQ743" t="s">
        <v>74</v>
      </c>
      <c r="BR743" t="s">
        <v>101</v>
      </c>
      <c r="BS743" t="s">
        <v>9014</v>
      </c>
      <c r="BT743" t="str">
        <f>HYPERLINK("https%3A%2F%2Fwww.webofscience.com%2Fwos%2Fwoscc%2Ffull-record%2FWOS:A1997YA44600001","View Full Record in Web of Science")</f>
        <v>View Full Record in Web of Science</v>
      </c>
    </row>
    <row r="744" spans="1:72" x14ac:dyDescent="0.15">
      <c r="A744" t="s">
        <v>72</v>
      </c>
      <c r="B744" t="s">
        <v>9015</v>
      </c>
      <c r="C744" t="s">
        <v>74</v>
      </c>
      <c r="D744" t="s">
        <v>74</v>
      </c>
      <c r="E744" t="s">
        <v>74</v>
      </c>
      <c r="F744" t="s">
        <v>9015</v>
      </c>
      <c r="G744" t="s">
        <v>74</v>
      </c>
      <c r="H744" t="s">
        <v>74</v>
      </c>
      <c r="I744" t="s">
        <v>9016</v>
      </c>
      <c r="J744" t="s">
        <v>1581</v>
      </c>
      <c r="K744" t="s">
        <v>74</v>
      </c>
      <c r="L744" t="s">
        <v>74</v>
      </c>
      <c r="M744" t="s">
        <v>77</v>
      </c>
      <c r="N744" t="s">
        <v>78</v>
      </c>
      <c r="O744" t="s">
        <v>74</v>
      </c>
      <c r="P744" t="s">
        <v>74</v>
      </c>
      <c r="Q744" t="s">
        <v>74</v>
      </c>
      <c r="R744" t="s">
        <v>74</v>
      </c>
      <c r="S744" t="s">
        <v>74</v>
      </c>
      <c r="T744" t="s">
        <v>74</v>
      </c>
      <c r="U744" t="s">
        <v>9017</v>
      </c>
      <c r="V744" t="s">
        <v>9018</v>
      </c>
      <c r="W744" t="s">
        <v>9019</v>
      </c>
      <c r="X744" t="s">
        <v>9020</v>
      </c>
      <c r="Y744" t="s">
        <v>9021</v>
      </c>
      <c r="Z744" t="s">
        <v>74</v>
      </c>
      <c r="AA744" t="s">
        <v>74</v>
      </c>
      <c r="AB744" t="s">
        <v>3188</v>
      </c>
      <c r="AC744" t="s">
        <v>74</v>
      </c>
      <c r="AD744" t="s">
        <v>74</v>
      </c>
      <c r="AE744" t="s">
        <v>74</v>
      </c>
      <c r="AF744" t="s">
        <v>74</v>
      </c>
      <c r="AG744">
        <v>29</v>
      </c>
      <c r="AH744">
        <v>286</v>
      </c>
      <c r="AI744">
        <v>318</v>
      </c>
      <c r="AJ744">
        <v>0</v>
      </c>
      <c r="AK744">
        <v>46</v>
      </c>
      <c r="AL744" t="s">
        <v>87</v>
      </c>
      <c r="AM744" t="s">
        <v>88</v>
      </c>
      <c r="AN744" t="s">
        <v>7533</v>
      </c>
      <c r="AO744" t="s">
        <v>1589</v>
      </c>
      <c r="AP744" t="s">
        <v>74</v>
      </c>
      <c r="AQ744" t="s">
        <v>74</v>
      </c>
      <c r="AR744" t="s">
        <v>1590</v>
      </c>
      <c r="AS744" t="s">
        <v>1591</v>
      </c>
      <c r="AT744" t="s">
        <v>9011</v>
      </c>
      <c r="AU744">
        <v>1997</v>
      </c>
      <c r="AV744">
        <v>24</v>
      </c>
      <c r="AW744">
        <v>20</v>
      </c>
      <c r="AX744" t="s">
        <v>74</v>
      </c>
      <c r="AY744" t="s">
        <v>74</v>
      </c>
      <c r="AZ744" t="s">
        <v>74</v>
      </c>
      <c r="BA744" t="s">
        <v>74</v>
      </c>
      <c r="BB744">
        <v>2515</v>
      </c>
      <c r="BC744">
        <v>2518</v>
      </c>
      <c r="BD744" t="s">
        <v>74</v>
      </c>
      <c r="BE744" t="s">
        <v>9022</v>
      </c>
      <c r="BF744" t="str">
        <f>HYPERLINK("http://dx.doi.org/10.1029/97GL02596","http://dx.doi.org/10.1029/97GL02596")</f>
        <v>http://dx.doi.org/10.1029/97GL02596</v>
      </c>
      <c r="BG744" t="s">
        <v>74</v>
      </c>
      <c r="BH744" t="s">
        <v>74</v>
      </c>
      <c r="BI744">
        <v>4</v>
      </c>
      <c r="BJ744" t="s">
        <v>769</v>
      </c>
      <c r="BK744" t="s">
        <v>98</v>
      </c>
      <c r="BL744" t="s">
        <v>471</v>
      </c>
      <c r="BM744" t="s">
        <v>9023</v>
      </c>
      <c r="BN744" t="s">
        <v>74</v>
      </c>
      <c r="BO744" t="s">
        <v>509</v>
      </c>
      <c r="BP744" t="s">
        <v>74</v>
      </c>
      <c r="BQ744" t="s">
        <v>74</v>
      </c>
      <c r="BR744" t="s">
        <v>101</v>
      </c>
      <c r="BS744" t="s">
        <v>9024</v>
      </c>
      <c r="BT744" t="str">
        <f>HYPERLINK("https%3A%2F%2Fwww.webofscience.com%2Fwos%2Fwoscc%2Ffull-record%2FWOS:A1997YB60200020","View Full Record in Web of Science")</f>
        <v>View Full Record in Web of Science</v>
      </c>
    </row>
    <row r="745" spans="1:72" x14ac:dyDescent="0.15">
      <c r="A745" t="s">
        <v>72</v>
      </c>
      <c r="B745" t="s">
        <v>9025</v>
      </c>
      <c r="C745" t="s">
        <v>74</v>
      </c>
      <c r="D745" t="s">
        <v>74</v>
      </c>
      <c r="E745" t="s">
        <v>74</v>
      </c>
      <c r="F745" t="s">
        <v>9025</v>
      </c>
      <c r="G745" t="s">
        <v>74</v>
      </c>
      <c r="H745" t="s">
        <v>74</v>
      </c>
      <c r="I745" t="s">
        <v>9026</v>
      </c>
      <c r="J745" t="s">
        <v>76</v>
      </c>
      <c r="K745" t="s">
        <v>74</v>
      </c>
      <c r="L745" t="s">
        <v>74</v>
      </c>
      <c r="M745" t="s">
        <v>77</v>
      </c>
      <c r="N745" t="s">
        <v>78</v>
      </c>
      <c r="O745" t="s">
        <v>74</v>
      </c>
      <c r="P745" t="s">
        <v>74</v>
      </c>
      <c r="Q745" t="s">
        <v>74</v>
      </c>
      <c r="R745" t="s">
        <v>74</v>
      </c>
      <c r="S745" t="s">
        <v>74</v>
      </c>
      <c r="T745" t="s">
        <v>74</v>
      </c>
      <c r="U745" t="s">
        <v>9027</v>
      </c>
      <c r="V745" t="s">
        <v>9028</v>
      </c>
      <c r="W745" t="s">
        <v>9029</v>
      </c>
      <c r="X745" t="s">
        <v>9030</v>
      </c>
      <c r="Y745" t="s">
        <v>9031</v>
      </c>
      <c r="Z745" t="s">
        <v>74</v>
      </c>
      <c r="AA745" t="s">
        <v>74</v>
      </c>
      <c r="AB745" t="s">
        <v>74</v>
      </c>
      <c r="AC745" t="s">
        <v>74</v>
      </c>
      <c r="AD745" t="s">
        <v>74</v>
      </c>
      <c r="AE745" t="s">
        <v>74</v>
      </c>
      <c r="AF745" t="s">
        <v>74</v>
      </c>
      <c r="AG745">
        <v>68</v>
      </c>
      <c r="AH745">
        <v>120</v>
      </c>
      <c r="AI745">
        <v>129</v>
      </c>
      <c r="AJ745">
        <v>1</v>
      </c>
      <c r="AK745">
        <v>13</v>
      </c>
      <c r="AL745" t="s">
        <v>87</v>
      </c>
      <c r="AM745" t="s">
        <v>88</v>
      </c>
      <c r="AN745" t="s">
        <v>89</v>
      </c>
      <c r="AO745" t="s">
        <v>74</v>
      </c>
      <c r="AP745" t="s">
        <v>74</v>
      </c>
      <c r="AQ745" t="s">
        <v>74</v>
      </c>
      <c r="AR745" t="s">
        <v>92</v>
      </c>
      <c r="AS745" t="s">
        <v>93</v>
      </c>
      <c r="AT745" t="s">
        <v>9011</v>
      </c>
      <c r="AU745">
        <v>1997</v>
      </c>
      <c r="AV745">
        <v>102</v>
      </c>
      <c r="AW745" t="s">
        <v>9032</v>
      </c>
      <c r="AX745" t="s">
        <v>74</v>
      </c>
      <c r="AY745" t="s">
        <v>74</v>
      </c>
      <c r="AZ745" t="s">
        <v>74</v>
      </c>
      <c r="BA745" t="s">
        <v>74</v>
      </c>
      <c r="BB745">
        <v>22965</v>
      </c>
      <c r="BC745">
        <v>22979</v>
      </c>
      <c r="BD745" t="s">
        <v>74</v>
      </c>
      <c r="BE745" t="s">
        <v>9033</v>
      </c>
      <c r="BF745" t="str">
        <f>HYPERLINK("http://dx.doi.org/10.1029/96JC03870","http://dx.doi.org/10.1029/96JC03870")</f>
        <v>http://dx.doi.org/10.1029/96JC03870</v>
      </c>
      <c r="BG745" t="s">
        <v>74</v>
      </c>
      <c r="BH745" t="s">
        <v>74</v>
      </c>
      <c r="BI745">
        <v>15</v>
      </c>
      <c r="BJ745" t="s">
        <v>97</v>
      </c>
      <c r="BK745" t="s">
        <v>98</v>
      </c>
      <c r="BL745" t="s">
        <v>97</v>
      </c>
      <c r="BM745" t="s">
        <v>9034</v>
      </c>
      <c r="BN745" t="s">
        <v>74</v>
      </c>
      <c r="BO745" t="s">
        <v>100</v>
      </c>
      <c r="BP745" t="s">
        <v>74</v>
      </c>
      <c r="BQ745" t="s">
        <v>74</v>
      </c>
      <c r="BR745" t="s">
        <v>101</v>
      </c>
      <c r="BS745" t="s">
        <v>9035</v>
      </c>
      <c r="BT745" t="str">
        <f>HYPERLINK("https%3A%2F%2Fwww.webofscience.com%2Fwos%2Fwoscc%2Ffull-record%2FWOS:000070983400006","View Full Record in Web of Science")</f>
        <v>View Full Record in Web of Science</v>
      </c>
    </row>
    <row r="746" spans="1:72" x14ac:dyDescent="0.15">
      <c r="A746" t="s">
        <v>72</v>
      </c>
      <c r="B746" t="s">
        <v>9036</v>
      </c>
      <c r="C746" t="s">
        <v>74</v>
      </c>
      <c r="D746" t="s">
        <v>74</v>
      </c>
      <c r="E746" t="s">
        <v>74</v>
      </c>
      <c r="F746" t="s">
        <v>9036</v>
      </c>
      <c r="G746" t="s">
        <v>74</v>
      </c>
      <c r="H746" t="s">
        <v>74</v>
      </c>
      <c r="I746" t="s">
        <v>9037</v>
      </c>
      <c r="J746" t="s">
        <v>9038</v>
      </c>
      <c r="K746" t="s">
        <v>74</v>
      </c>
      <c r="L746" t="s">
        <v>74</v>
      </c>
      <c r="M746" t="s">
        <v>77</v>
      </c>
      <c r="N746" t="s">
        <v>78</v>
      </c>
      <c r="O746" t="s">
        <v>74</v>
      </c>
      <c r="P746" t="s">
        <v>74</v>
      </c>
      <c r="Q746" t="s">
        <v>74</v>
      </c>
      <c r="R746" t="s">
        <v>74</v>
      </c>
      <c r="S746" t="s">
        <v>74</v>
      </c>
      <c r="T746" t="s">
        <v>74</v>
      </c>
      <c r="U746" t="s">
        <v>9039</v>
      </c>
      <c r="V746" t="s">
        <v>9040</v>
      </c>
      <c r="W746" t="s">
        <v>9041</v>
      </c>
      <c r="X746" t="s">
        <v>9042</v>
      </c>
      <c r="Y746" t="s">
        <v>74</v>
      </c>
      <c r="Z746" t="s">
        <v>74</v>
      </c>
      <c r="AA746" t="s">
        <v>9043</v>
      </c>
      <c r="AB746" t="s">
        <v>9044</v>
      </c>
      <c r="AC746" t="s">
        <v>74</v>
      </c>
      <c r="AD746" t="s">
        <v>74</v>
      </c>
      <c r="AE746" t="s">
        <v>74</v>
      </c>
      <c r="AF746" t="s">
        <v>74</v>
      </c>
      <c r="AG746">
        <v>27</v>
      </c>
      <c r="AH746">
        <v>69</v>
      </c>
      <c r="AI746">
        <v>80</v>
      </c>
      <c r="AJ746">
        <v>3</v>
      </c>
      <c r="AK746">
        <v>24</v>
      </c>
      <c r="AL746" t="s">
        <v>9045</v>
      </c>
      <c r="AM746" t="s">
        <v>7414</v>
      </c>
      <c r="AN746" t="s">
        <v>7415</v>
      </c>
      <c r="AO746" t="s">
        <v>9046</v>
      </c>
      <c r="AP746" t="s">
        <v>74</v>
      </c>
      <c r="AQ746" t="s">
        <v>74</v>
      </c>
      <c r="AR746" t="s">
        <v>9047</v>
      </c>
      <c r="AS746" t="s">
        <v>9048</v>
      </c>
      <c r="AT746" t="s">
        <v>9049</v>
      </c>
      <c r="AU746">
        <v>1997</v>
      </c>
      <c r="AV746">
        <v>239</v>
      </c>
      <c r="AW746">
        <v>1</v>
      </c>
      <c r="AX746" t="s">
        <v>74</v>
      </c>
      <c r="AY746" t="s">
        <v>74</v>
      </c>
      <c r="AZ746" t="s">
        <v>74</v>
      </c>
      <c r="BA746" t="s">
        <v>74</v>
      </c>
      <c r="BB746">
        <v>85</v>
      </c>
      <c r="BC746">
        <v>90</v>
      </c>
      <c r="BD746" t="s">
        <v>74</v>
      </c>
      <c r="BE746" t="s">
        <v>9050</v>
      </c>
      <c r="BF746" t="str">
        <f>HYPERLINK("http://dx.doi.org/10.1006/bbrc.1997.7433","http://dx.doi.org/10.1006/bbrc.1997.7433")</f>
        <v>http://dx.doi.org/10.1006/bbrc.1997.7433</v>
      </c>
      <c r="BG746" t="s">
        <v>74</v>
      </c>
      <c r="BH746" t="s">
        <v>74</v>
      </c>
      <c r="BI746">
        <v>6</v>
      </c>
      <c r="BJ746" t="s">
        <v>7774</v>
      </c>
      <c r="BK746" t="s">
        <v>98</v>
      </c>
      <c r="BL746" t="s">
        <v>7774</v>
      </c>
      <c r="BM746" t="s">
        <v>9051</v>
      </c>
      <c r="BN746">
        <v>9345274</v>
      </c>
      <c r="BO746" t="s">
        <v>74</v>
      </c>
      <c r="BP746" t="s">
        <v>74</v>
      </c>
      <c r="BQ746" t="s">
        <v>74</v>
      </c>
      <c r="BR746" t="s">
        <v>101</v>
      </c>
      <c r="BS746" t="s">
        <v>9052</v>
      </c>
      <c r="BT746" t="str">
        <f>HYPERLINK("https%3A%2F%2Fwww.webofscience.com%2Fwos%2Fwoscc%2Ffull-record%2FWOS:A1997YB13100016","View Full Record in Web of Science")</f>
        <v>View Full Record in Web of Science</v>
      </c>
    </row>
    <row r="747" spans="1:72" x14ac:dyDescent="0.15">
      <c r="A747" t="s">
        <v>72</v>
      </c>
      <c r="B747" t="s">
        <v>9053</v>
      </c>
      <c r="C747" t="s">
        <v>74</v>
      </c>
      <c r="D747" t="s">
        <v>74</v>
      </c>
      <c r="E747" t="s">
        <v>74</v>
      </c>
      <c r="F747" t="s">
        <v>9053</v>
      </c>
      <c r="G747" t="s">
        <v>74</v>
      </c>
      <c r="H747" t="s">
        <v>74</v>
      </c>
      <c r="I747" t="s">
        <v>9054</v>
      </c>
      <c r="J747" t="s">
        <v>9055</v>
      </c>
      <c r="K747" t="s">
        <v>74</v>
      </c>
      <c r="L747" t="s">
        <v>74</v>
      </c>
      <c r="M747" t="s">
        <v>77</v>
      </c>
      <c r="N747" t="s">
        <v>78</v>
      </c>
      <c r="O747" t="s">
        <v>74</v>
      </c>
      <c r="P747" t="s">
        <v>74</v>
      </c>
      <c r="Q747" t="s">
        <v>74</v>
      </c>
      <c r="R747" t="s">
        <v>74</v>
      </c>
      <c r="S747" t="s">
        <v>74</v>
      </c>
      <c r="T747" t="s">
        <v>9056</v>
      </c>
      <c r="U747" t="s">
        <v>9057</v>
      </c>
      <c r="V747" t="s">
        <v>9058</v>
      </c>
      <c r="W747" t="s">
        <v>74</v>
      </c>
      <c r="X747" t="s">
        <v>74</v>
      </c>
      <c r="Y747" t="s">
        <v>9059</v>
      </c>
      <c r="Z747" t="s">
        <v>74</v>
      </c>
      <c r="AA747" t="s">
        <v>9060</v>
      </c>
      <c r="AB747" t="s">
        <v>9061</v>
      </c>
      <c r="AC747" t="s">
        <v>74</v>
      </c>
      <c r="AD747" t="s">
        <v>74</v>
      </c>
      <c r="AE747" t="s">
        <v>74</v>
      </c>
      <c r="AF747" t="s">
        <v>74</v>
      </c>
      <c r="AG747">
        <v>38</v>
      </c>
      <c r="AH747">
        <v>106</v>
      </c>
      <c r="AI747">
        <v>116</v>
      </c>
      <c r="AJ747">
        <v>1</v>
      </c>
      <c r="AK747">
        <v>2</v>
      </c>
      <c r="AL747" t="s">
        <v>1029</v>
      </c>
      <c r="AM747" t="s">
        <v>1030</v>
      </c>
      <c r="AN747" t="s">
        <v>1031</v>
      </c>
      <c r="AO747" t="s">
        <v>9062</v>
      </c>
      <c r="AP747" t="s">
        <v>74</v>
      </c>
      <c r="AQ747" t="s">
        <v>74</v>
      </c>
      <c r="AR747" t="s">
        <v>9063</v>
      </c>
      <c r="AS747" t="s">
        <v>9064</v>
      </c>
      <c r="AT747" t="s">
        <v>9049</v>
      </c>
      <c r="AU747">
        <v>1997</v>
      </c>
      <c r="AV747">
        <v>411</v>
      </c>
      <c r="AW747" t="s">
        <v>4809</v>
      </c>
      <c r="AX747" t="s">
        <v>74</v>
      </c>
      <c r="AY747" t="s">
        <v>74</v>
      </c>
      <c r="AZ747" t="s">
        <v>74</v>
      </c>
      <c r="BA747" t="s">
        <v>74</v>
      </c>
      <c r="BB747">
        <v>218</v>
      </c>
      <c r="BC747">
        <v>224</v>
      </c>
      <c r="BD747" t="s">
        <v>74</v>
      </c>
      <c r="BE747" t="s">
        <v>9065</v>
      </c>
      <c r="BF747" t="str">
        <f>HYPERLINK("http://dx.doi.org/10.1016/S0370-2693(97)01009-5","http://dx.doi.org/10.1016/S0370-2693(97)01009-5")</f>
        <v>http://dx.doi.org/10.1016/S0370-2693(97)01009-5</v>
      </c>
      <c r="BG747" t="s">
        <v>74</v>
      </c>
      <c r="BH747" t="s">
        <v>74</v>
      </c>
      <c r="BI747">
        <v>7</v>
      </c>
      <c r="BJ747" t="s">
        <v>9066</v>
      </c>
      <c r="BK747" t="s">
        <v>98</v>
      </c>
      <c r="BL747" t="s">
        <v>9067</v>
      </c>
      <c r="BM747" t="s">
        <v>9068</v>
      </c>
      <c r="BN747" t="s">
        <v>74</v>
      </c>
      <c r="BO747" t="s">
        <v>74</v>
      </c>
      <c r="BP747" t="s">
        <v>74</v>
      </c>
      <c r="BQ747" t="s">
        <v>74</v>
      </c>
      <c r="BR747" t="s">
        <v>101</v>
      </c>
      <c r="BS747" t="s">
        <v>9069</v>
      </c>
      <c r="BT747" t="str">
        <f>HYPERLINK("https%3A%2F%2Fwww.webofscience.com%2Fwos%2Fwoscc%2Ffull-record%2FWOS:A1997YF99100030","View Full Record in Web of Science")</f>
        <v>View Full Record in Web of Science</v>
      </c>
    </row>
    <row r="748" spans="1:72" x14ac:dyDescent="0.15">
      <c r="A748" t="s">
        <v>72</v>
      </c>
      <c r="B748" t="s">
        <v>9070</v>
      </c>
      <c r="C748" t="s">
        <v>74</v>
      </c>
      <c r="D748" t="s">
        <v>74</v>
      </c>
      <c r="E748" t="s">
        <v>74</v>
      </c>
      <c r="F748" t="s">
        <v>9070</v>
      </c>
      <c r="G748" t="s">
        <v>74</v>
      </c>
      <c r="H748" t="s">
        <v>74</v>
      </c>
      <c r="I748" t="s">
        <v>9071</v>
      </c>
      <c r="J748" t="s">
        <v>9072</v>
      </c>
      <c r="K748" t="s">
        <v>74</v>
      </c>
      <c r="L748" t="s">
        <v>74</v>
      </c>
      <c r="M748" t="s">
        <v>77</v>
      </c>
      <c r="N748" t="s">
        <v>8231</v>
      </c>
      <c r="O748" t="s">
        <v>74</v>
      </c>
      <c r="P748" t="s">
        <v>74</v>
      </c>
      <c r="Q748" t="s">
        <v>74</v>
      </c>
      <c r="R748" t="s">
        <v>74</v>
      </c>
      <c r="S748" t="s">
        <v>74</v>
      </c>
      <c r="T748" t="s">
        <v>74</v>
      </c>
      <c r="U748" t="s">
        <v>74</v>
      </c>
      <c r="V748" t="s">
        <v>74</v>
      </c>
      <c r="W748" t="s">
        <v>74</v>
      </c>
      <c r="X748" t="s">
        <v>74</v>
      </c>
      <c r="Y748" t="s">
        <v>74</v>
      </c>
      <c r="Z748" t="s">
        <v>74</v>
      </c>
      <c r="AA748" t="s">
        <v>74</v>
      </c>
      <c r="AB748" t="s">
        <v>74</v>
      </c>
      <c r="AC748" t="s">
        <v>74</v>
      </c>
      <c r="AD748" t="s">
        <v>74</v>
      </c>
      <c r="AE748" t="s">
        <v>74</v>
      </c>
      <c r="AF748" t="s">
        <v>74</v>
      </c>
      <c r="AG748">
        <v>0</v>
      </c>
      <c r="AH748">
        <v>0</v>
      </c>
      <c r="AI748">
        <v>0</v>
      </c>
      <c r="AJ748">
        <v>0</v>
      </c>
      <c r="AK748">
        <v>0</v>
      </c>
      <c r="AL748" t="s">
        <v>9073</v>
      </c>
      <c r="AM748" t="s">
        <v>965</v>
      </c>
      <c r="AN748" t="s">
        <v>9074</v>
      </c>
      <c r="AO748" t="s">
        <v>9075</v>
      </c>
      <c r="AP748" t="s">
        <v>9076</v>
      </c>
      <c r="AQ748" t="s">
        <v>74</v>
      </c>
      <c r="AR748" t="s">
        <v>9077</v>
      </c>
      <c r="AS748" t="s">
        <v>9078</v>
      </c>
      <c r="AT748" t="s">
        <v>9079</v>
      </c>
      <c r="AU748">
        <v>1997</v>
      </c>
      <c r="AV748" t="s">
        <v>74</v>
      </c>
      <c r="AW748">
        <v>19</v>
      </c>
      <c r="AX748" t="s">
        <v>74</v>
      </c>
      <c r="AY748" t="s">
        <v>74</v>
      </c>
      <c r="AZ748" t="s">
        <v>74</v>
      </c>
      <c r="BA748" t="s">
        <v>74</v>
      </c>
      <c r="BB748">
        <v>750</v>
      </c>
      <c r="BC748">
        <v>750</v>
      </c>
      <c r="BD748" t="s">
        <v>74</v>
      </c>
      <c r="BE748" t="s">
        <v>74</v>
      </c>
      <c r="BF748" t="s">
        <v>74</v>
      </c>
      <c r="BG748" t="s">
        <v>74</v>
      </c>
      <c r="BH748" t="s">
        <v>74</v>
      </c>
      <c r="BI748">
        <v>1</v>
      </c>
      <c r="BJ748" t="s">
        <v>9080</v>
      </c>
      <c r="BK748" t="s">
        <v>98</v>
      </c>
      <c r="BL748" t="s">
        <v>398</v>
      </c>
      <c r="BM748" t="s">
        <v>9081</v>
      </c>
      <c r="BN748" t="s">
        <v>74</v>
      </c>
      <c r="BO748" t="s">
        <v>74</v>
      </c>
      <c r="BP748" t="s">
        <v>74</v>
      </c>
      <c r="BQ748" t="s">
        <v>74</v>
      </c>
      <c r="BR748" t="s">
        <v>101</v>
      </c>
      <c r="BS748" t="s">
        <v>9082</v>
      </c>
      <c r="BT748" t="str">
        <f>HYPERLINK("https%3A%2F%2Fwww.webofscience.com%2Fwos%2Fwoscc%2Ffull-record%2FWOS:A1997YA13200014","View Full Record in Web of Science")</f>
        <v>View Full Record in Web of Science</v>
      </c>
    </row>
    <row r="749" spans="1:72" x14ac:dyDescent="0.15">
      <c r="A749" t="s">
        <v>72</v>
      </c>
      <c r="B749" t="s">
        <v>9083</v>
      </c>
      <c r="C749" t="s">
        <v>74</v>
      </c>
      <c r="D749" t="s">
        <v>74</v>
      </c>
      <c r="E749" t="s">
        <v>74</v>
      </c>
      <c r="F749" t="s">
        <v>9083</v>
      </c>
      <c r="G749" t="s">
        <v>74</v>
      </c>
      <c r="H749" t="s">
        <v>74</v>
      </c>
      <c r="I749" t="s">
        <v>9084</v>
      </c>
      <c r="J749" t="s">
        <v>4530</v>
      </c>
      <c r="K749" t="s">
        <v>74</v>
      </c>
      <c r="L749" t="s">
        <v>74</v>
      </c>
      <c r="M749" t="s">
        <v>77</v>
      </c>
      <c r="N749" t="s">
        <v>379</v>
      </c>
      <c r="O749" t="s">
        <v>9085</v>
      </c>
      <c r="P749" t="s">
        <v>9086</v>
      </c>
      <c r="Q749" t="s">
        <v>9087</v>
      </c>
      <c r="R749" t="s">
        <v>74</v>
      </c>
      <c r="S749" t="s">
        <v>74</v>
      </c>
      <c r="T749" t="s">
        <v>9088</v>
      </c>
      <c r="U749" t="s">
        <v>9089</v>
      </c>
      <c r="V749" t="s">
        <v>9090</v>
      </c>
      <c r="W749" t="s">
        <v>9091</v>
      </c>
      <c r="X749" t="s">
        <v>9092</v>
      </c>
      <c r="Y749" t="s">
        <v>9093</v>
      </c>
      <c r="Z749" t="s">
        <v>74</v>
      </c>
      <c r="AA749" t="s">
        <v>1312</v>
      </c>
      <c r="AB749" t="s">
        <v>9094</v>
      </c>
      <c r="AC749" t="s">
        <v>74</v>
      </c>
      <c r="AD749" t="s">
        <v>74</v>
      </c>
      <c r="AE749" t="s">
        <v>74</v>
      </c>
      <c r="AF749" t="s">
        <v>74</v>
      </c>
      <c r="AG749">
        <v>24</v>
      </c>
      <c r="AH749">
        <v>62</v>
      </c>
      <c r="AI749">
        <v>69</v>
      </c>
      <c r="AJ749">
        <v>0</v>
      </c>
      <c r="AK749">
        <v>13</v>
      </c>
      <c r="AL749" t="s">
        <v>914</v>
      </c>
      <c r="AM749" t="s">
        <v>855</v>
      </c>
      <c r="AN749" t="s">
        <v>1718</v>
      </c>
      <c r="AO749" t="s">
        <v>4538</v>
      </c>
      <c r="AP749" t="s">
        <v>4539</v>
      </c>
      <c r="AQ749" t="s">
        <v>74</v>
      </c>
      <c r="AR749" t="s">
        <v>4530</v>
      </c>
      <c r="AS749" t="s">
        <v>4540</v>
      </c>
      <c r="AT749" t="s">
        <v>9095</v>
      </c>
      <c r="AU749">
        <v>1997</v>
      </c>
      <c r="AV749">
        <v>355</v>
      </c>
      <c r="AW749" t="s">
        <v>74</v>
      </c>
      <c r="AX749" t="s">
        <v>74</v>
      </c>
      <c r="AY749" t="s">
        <v>74</v>
      </c>
      <c r="AZ749" t="s">
        <v>74</v>
      </c>
      <c r="BA749" t="s">
        <v>74</v>
      </c>
      <c r="BB749">
        <v>139</v>
      </c>
      <c r="BC749">
        <v>144</v>
      </c>
      <c r="BD749" t="s">
        <v>74</v>
      </c>
      <c r="BE749" t="s">
        <v>9096</v>
      </c>
      <c r="BF749" t="str">
        <f>HYPERLINK("http://dx.doi.org/10.1023/A:1003094515903","http://dx.doi.org/10.1023/A:1003094515903")</f>
        <v>http://dx.doi.org/10.1023/A:1003094515903</v>
      </c>
      <c r="BG749" t="s">
        <v>74</v>
      </c>
      <c r="BH749" t="s">
        <v>74</v>
      </c>
      <c r="BI749">
        <v>6</v>
      </c>
      <c r="BJ749" t="s">
        <v>1802</v>
      </c>
      <c r="BK749" t="s">
        <v>3943</v>
      </c>
      <c r="BL749" t="s">
        <v>1802</v>
      </c>
      <c r="BM749" t="s">
        <v>9097</v>
      </c>
      <c r="BN749" t="s">
        <v>74</v>
      </c>
      <c r="BO749" t="s">
        <v>74</v>
      </c>
      <c r="BP749" t="s">
        <v>74</v>
      </c>
      <c r="BQ749" t="s">
        <v>74</v>
      </c>
      <c r="BR749" t="s">
        <v>101</v>
      </c>
      <c r="BS749" t="s">
        <v>9098</v>
      </c>
      <c r="BT749" t="str">
        <f>HYPERLINK("https%3A%2F%2Fwww.webofscience.com%2Fwos%2Fwoscc%2Ffull-record%2FWOS:000071763300015","View Full Record in Web of Science")</f>
        <v>View Full Record in Web of Science</v>
      </c>
    </row>
    <row r="750" spans="1:72" x14ac:dyDescent="0.15">
      <c r="A750" t="s">
        <v>72</v>
      </c>
      <c r="B750" t="s">
        <v>9099</v>
      </c>
      <c r="C750" t="s">
        <v>74</v>
      </c>
      <c r="D750" t="s">
        <v>74</v>
      </c>
      <c r="E750" t="s">
        <v>74</v>
      </c>
      <c r="F750" t="s">
        <v>9099</v>
      </c>
      <c r="G750" t="s">
        <v>74</v>
      </c>
      <c r="H750" t="s">
        <v>74</v>
      </c>
      <c r="I750" t="s">
        <v>9100</v>
      </c>
      <c r="J750" t="s">
        <v>170</v>
      </c>
      <c r="K750" t="s">
        <v>74</v>
      </c>
      <c r="L750" t="s">
        <v>74</v>
      </c>
      <c r="M750" t="s">
        <v>77</v>
      </c>
      <c r="N750" t="s">
        <v>78</v>
      </c>
      <c r="O750" t="s">
        <v>74</v>
      </c>
      <c r="P750" t="s">
        <v>74</v>
      </c>
      <c r="Q750" t="s">
        <v>74</v>
      </c>
      <c r="R750" t="s">
        <v>74</v>
      </c>
      <c r="S750" t="s">
        <v>74</v>
      </c>
      <c r="T750" t="s">
        <v>74</v>
      </c>
      <c r="U750" t="s">
        <v>9101</v>
      </c>
      <c r="V750" t="s">
        <v>9102</v>
      </c>
      <c r="W750" t="s">
        <v>9103</v>
      </c>
      <c r="X750" t="s">
        <v>8587</v>
      </c>
      <c r="Y750" t="s">
        <v>9104</v>
      </c>
      <c r="Z750" t="s">
        <v>74</v>
      </c>
      <c r="AA750" t="s">
        <v>74</v>
      </c>
      <c r="AB750" t="s">
        <v>74</v>
      </c>
      <c r="AC750" t="s">
        <v>74</v>
      </c>
      <c r="AD750" t="s">
        <v>74</v>
      </c>
      <c r="AE750" t="s">
        <v>74</v>
      </c>
      <c r="AF750" t="s">
        <v>74</v>
      </c>
      <c r="AG750">
        <v>31</v>
      </c>
      <c r="AH750">
        <v>38</v>
      </c>
      <c r="AI750">
        <v>39</v>
      </c>
      <c r="AJ750">
        <v>0</v>
      </c>
      <c r="AK750">
        <v>6</v>
      </c>
      <c r="AL750" t="s">
        <v>179</v>
      </c>
      <c r="AM750" t="s">
        <v>88</v>
      </c>
      <c r="AN750" t="s">
        <v>8238</v>
      </c>
      <c r="AO750" t="s">
        <v>181</v>
      </c>
      <c r="AP750" t="s">
        <v>74</v>
      </c>
      <c r="AQ750" t="s">
        <v>74</v>
      </c>
      <c r="AR750" t="s">
        <v>170</v>
      </c>
      <c r="AS750" t="s">
        <v>183</v>
      </c>
      <c r="AT750" t="s">
        <v>9095</v>
      </c>
      <c r="AU750">
        <v>1997</v>
      </c>
      <c r="AV750">
        <v>278</v>
      </c>
      <c r="AW750">
        <v>5335</v>
      </c>
      <c r="AX750" t="s">
        <v>74</v>
      </c>
      <c r="AY750" t="s">
        <v>74</v>
      </c>
      <c r="AZ750" t="s">
        <v>74</v>
      </c>
      <c r="BA750" t="s">
        <v>74</v>
      </c>
      <c r="BB750">
        <v>93</v>
      </c>
      <c r="BC750">
        <v>96</v>
      </c>
      <c r="BD750" t="s">
        <v>74</v>
      </c>
      <c r="BE750" t="s">
        <v>9105</v>
      </c>
      <c r="BF750" t="str">
        <f>HYPERLINK("http://dx.doi.org/10.1126/science.278.5335.93","http://dx.doi.org/10.1126/science.278.5335.93")</f>
        <v>http://dx.doi.org/10.1126/science.278.5335.93</v>
      </c>
      <c r="BG750" t="s">
        <v>74</v>
      </c>
      <c r="BH750" t="s">
        <v>74</v>
      </c>
      <c r="BI750">
        <v>4</v>
      </c>
      <c r="BJ750" t="s">
        <v>186</v>
      </c>
      <c r="BK750" t="s">
        <v>98</v>
      </c>
      <c r="BL750" t="s">
        <v>187</v>
      </c>
      <c r="BM750" t="s">
        <v>9106</v>
      </c>
      <c r="BN750" t="s">
        <v>74</v>
      </c>
      <c r="BO750" t="s">
        <v>74</v>
      </c>
      <c r="BP750" t="s">
        <v>74</v>
      </c>
      <c r="BQ750" t="s">
        <v>74</v>
      </c>
      <c r="BR750" t="s">
        <v>101</v>
      </c>
      <c r="BS750" t="s">
        <v>9107</v>
      </c>
      <c r="BT750" t="str">
        <f>HYPERLINK("https%3A%2F%2Fwww.webofscience.com%2Fwos%2Fwoscc%2Ffull-record%2FWOS:A1997XZ12400044","View Full Record in Web of Science")</f>
        <v>View Full Record in Web of Science</v>
      </c>
    </row>
    <row r="751" spans="1:72" x14ac:dyDescent="0.15">
      <c r="A751" t="s">
        <v>72</v>
      </c>
      <c r="B751" t="s">
        <v>9108</v>
      </c>
      <c r="C751" t="s">
        <v>74</v>
      </c>
      <c r="D751" t="s">
        <v>74</v>
      </c>
      <c r="E751" t="s">
        <v>74</v>
      </c>
      <c r="F751" t="s">
        <v>9108</v>
      </c>
      <c r="G751" t="s">
        <v>74</v>
      </c>
      <c r="H751" t="s">
        <v>74</v>
      </c>
      <c r="I751" t="s">
        <v>9109</v>
      </c>
      <c r="J751" t="s">
        <v>1041</v>
      </c>
      <c r="K751" t="s">
        <v>74</v>
      </c>
      <c r="L751" t="s">
        <v>74</v>
      </c>
      <c r="M751" t="s">
        <v>77</v>
      </c>
      <c r="N751" t="s">
        <v>78</v>
      </c>
      <c r="O751" t="s">
        <v>74</v>
      </c>
      <c r="P751" t="s">
        <v>74</v>
      </c>
      <c r="Q751" t="s">
        <v>74</v>
      </c>
      <c r="R751" t="s">
        <v>74</v>
      </c>
      <c r="S751" t="s">
        <v>74</v>
      </c>
      <c r="T751" t="s">
        <v>74</v>
      </c>
      <c r="U751" t="s">
        <v>9110</v>
      </c>
      <c r="V751" t="s">
        <v>9111</v>
      </c>
      <c r="W751" t="s">
        <v>9112</v>
      </c>
      <c r="X751" t="s">
        <v>9113</v>
      </c>
      <c r="Y751" t="s">
        <v>74</v>
      </c>
      <c r="Z751" t="s">
        <v>74</v>
      </c>
      <c r="AA751" t="s">
        <v>74</v>
      </c>
      <c r="AB751" t="s">
        <v>74</v>
      </c>
      <c r="AC751" t="s">
        <v>74</v>
      </c>
      <c r="AD751" t="s">
        <v>74</v>
      </c>
      <c r="AE751" t="s">
        <v>74</v>
      </c>
      <c r="AF751" t="s">
        <v>74</v>
      </c>
      <c r="AG751">
        <v>25</v>
      </c>
      <c r="AH751">
        <v>18</v>
      </c>
      <c r="AI751">
        <v>22</v>
      </c>
      <c r="AJ751">
        <v>1</v>
      </c>
      <c r="AK751">
        <v>7</v>
      </c>
      <c r="AL751" t="s">
        <v>707</v>
      </c>
      <c r="AM751" t="s">
        <v>88</v>
      </c>
      <c r="AN751" t="s">
        <v>8903</v>
      </c>
      <c r="AO751" t="s">
        <v>1048</v>
      </c>
      <c r="AP751" t="s">
        <v>74</v>
      </c>
      <c r="AQ751" t="s">
        <v>74</v>
      </c>
      <c r="AR751" t="s">
        <v>1049</v>
      </c>
      <c r="AS751" t="s">
        <v>1050</v>
      </c>
      <c r="AT751" t="s">
        <v>9114</v>
      </c>
      <c r="AU751">
        <v>1997</v>
      </c>
      <c r="AV751">
        <v>101</v>
      </c>
      <c r="AW751">
        <v>40</v>
      </c>
      <c r="AX751" t="s">
        <v>74</v>
      </c>
      <c r="AY751" t="s">
        <v>74</v>
      </c>
      <c r="AZ751" t="s">
        <v>74</v>
      </c>
      <c r="BA751" t="s">
        <v>74</v>
      </c>
      <c r="BB751">
        <v>7350</v>
      </c>
      <c r="BC751">
        <v>7358</v>
      </c>
      <c r="BD751" t="s">
        <v>74</v>
      </c>
      <c r="BE751" t="s">
        <v>9115</v>
      </c>
      <c r="BF751" t="str">
        <f>HYPERLINK("http://dx.doi.org/10.1021/jp971250d","http://dx.doi.org/10.1021/jp971250d")</f>
        <v>http://dx.doi.org/10.1021/jp971250d</v>
      </c>
      <c r="BG751" t="s">
        <v>74</v>
      </c>
      <c r="BH751" t="s">
        <v>74</v>
      </c>
      <c r="BI751">
        <v>9</v>
      </c>
      <c r="BJ751" t="s">
        <v>1052</v>
      </c>
      <c r="BK751" t="s">
        <v>98</v>
      </c>
      <c r="BL751" t="s">
        <v>1053</v>
      </c>
      <c r="BM751" t="s">
        <v>9116</v>
      </c>
      <c r="BN751" t="s">
        <v>74</v>
      </c>
      <c r="BO751" t="s">
        <v>74</v>
      </c>
      <c r="BP751" t="s">
        <v>74</v>
      </c>
      <c r="BQ751" t="s">
        <v>74</v>
      </c>
      <c r="BR751" t="s">
        <v>101</v>
      </c>
      <c r="BS751" t="s">
        <v>9117</v>
      </c>
      <c r="BT751" t="str">
        <f>HYPERLINK("https%3A%2F%2Fwww.webofscience.com%2Fwos%2Fwoscc%2Ffull-record%2FWOS:A1997XZ20100008","View Full Record in Web of Science")</f>
        <v>View Full Record in Web of Science</v>
      </c>
    </row>
    <row r="752" spans="1:72" x14ac:dyDescent="0.15">
      <c r="A752" t="s">
        <v>72</v>
      </c>
      <c r="B752" t="s">
        <v>9118</v>
      </c>
      <c r="C752" t="s">
        <v>74</v>
      </c>
      <c r="D752" t="s">
        <v>74</v>
      </c>
      <c r="E752" t="s">
        <v>74</v>
      </c>
      <c r="F752" t="s">
        <v>9118</v>
      </c>
      <c r="G752" t="s">
        <v>74</v>
      </c>
      <c r="H752" t="s">
        <v>74</v>
      </c>
      <c r="I752" t="s">
        <v>9119</v>
      </c>
      <c r="J752" t="s">
        <v>2675</v>
      </c>
      <c r="K752" t="s">
        <v>74</v>
      </c>
      <c r="L752" t="s">
        <v>74</v>
      </c>
      <c r="M752" t="s">
        <v>77</v>
      </c>
      <c r="N752" t="s">
        <v>1135</v>
      </c>
      <c r="O752" t="s">
        <v>74</v>
      </c>
      <c r="P752" t="s">
        <v>74</v>
      </c>
      <c r="Q752" t="s">
        <v>74</v>
      </c>
      <c r="R752" t="s">
        <v>74</v>
      </c>
      <c r="S752" t="s">
        <v>74</v>
      </c>
      <c r="T752" t="s">
        <v>74</v>
      </c>
      <c r="U752" t="s">
        <v>74</v>
      </c>
      <c r="V752" t="s">
        <v>74</v>
      </c>
      <c r="W752" t="s">
        <v>74</v>
      </c>
      <c r="X752" t="s">
        <v>74</v>
      </c>
      <c r="Y752" t="s">
        <v>9120</v>
      </c>
      <c r="Z752" t="s">
        <v>74</v>
      </c>
      <c r="AA752" t="s">
        <v>74</v>
      </c>
      <c r="AB752" t="s">
        <v>74</v>
      </c>
      <c r="AC752" t="s">
        <v>74</v>
      </c>
      <c r="AD752" t="s">
        <v>74</v>
      </c>
      <c r="AE752" t="s">
        <v>74</v>
      </c>
      <c r="AF752" t="s">
        <v>74</v>
      </c>
      <c r="AG752">
        <v>1</v>
      </c>
      <c r="AH752">
        <v>0</v>
      </c>
      <c r="AI752">
        <v>0</v>
      </c>
      <c r="AJ752">
        <v>0</v>
      </c>
      <c r="AK752">
        <v>0</v>
      </c>
      <c r="AL752" t="s">
        <v>9121</v>
      </c>
      <c r="AM752" t="s">
        <v>88</v>
      </c>
      <c r="AN752" t="s">
        <v>9122</v>
      </c>
      <c r="AO752" t="s">
        <v>2680</v>
      </c>
      <c r="AP752" t="s">
        <v>74</v>
      </c>
      <c r="AQ752" t="s">
        <v>74</v>
      </c>
      <c r="AR752" t="s">
        <v>2682</v>
      </c>
      <c r="AS752" t="s">
        <v>2683</v>
      </c>
      <c r="AT752" t="s">
        <v>9123</v>
      </c>
      <c r="AU752">
        <v>1997</v>
      </c>
      <c r="AV752">
        <v>91</v>
      </c>
      <c r="AW752">
        <v>4</v>
      </c>
      <c r="AX752" t="s">
        <v>74</v>
      </c>
      <c r="AY752" t="s">
        <v>74</v>
      </c>
      <c r="AZ752" t="s">
        <v>74</v>
      </c>
      <c r="BA752" t="s">
        <v>74</v>
      </c>
      <c r="BB752">
        <v>767</v>
      </c>
      <c r="BC752">
        <v>767</v>
      </c>
      <c r="BD752" t="s">
        <v>74</v>
      </c>
      <c r="BE752" t="s">
        <v>9124</v>
      </c>
      <c r="BF752" t="str">
        <f>HYPERLINK("http://dx.doi.org/10.2307/2998117","http://dx.doi.org/10.2307/2998117")</f>
        <v>http://dx.doi.org/10.2307/2998117</v>
      </c>
      <c r="BG752" t="s">
        <v>74</v>
      </c>
      <c r="BH752" t="s">
        <v>74</v>
      </c>
      <c r="BI752">
        <v>1</v>
      </c>
      <c r="BJ752" t="s">
        <v>2684</v>
      </c>
      <c r="BK752" t="s">
        <v>1619</v>
      </c>
      <c r="BL752" t="s">
        <v>2685</v>
      </c>
      <c r="BM752" t="s">
        <v>9125</v>
      </c>
      <c r="BN752" t="s">
        <v>74</v>
      </c>
      <c r="BO752" t="s">
        <v>74</v>
      </c>
      <c r="BP752" t="s">
        <v>74</v>
      </c>
      <c r="BQ752" t="s">
        <v>74</v>
      </c>
      <c r="BR752" t="s">
        <v>101</v>
      </c>
      <c r="BS752" t="s">
        <v>9126</v>
      </c>
      <c r="BT752" t="str">
        <f>HYPERLINK("https%3A%2F%2Fwww.webofscience.com%2Fwos%2Fwoscc%2Ffull-record%2FWOS:A1997YK49900018","View Full Record in Web of Science")</f>
        <v>View Full Record in Web of Science</v>
      </c>
    </row>
    <row r="753" spans="1:72" x14ac:dyDescent="0.15">
      <c r="A753" t="s">
        <v>72</v>
      </c>
      <c r="B753" t="s">
        <v>9127</v>
      </c>
      <c r="C753" t="s">
        <v>74</v>
      </c>
      <c r="D753" t="s">
        <v>74</v>
      </c>
      <c r="E753" t="s">
        <v>74</v>
      </c>
      <c r="F753" t="s">
        <v>9127</v>
      </c>
      <c r="G753" t="s">
        <v>74</v>
      </c>
      <c r="H753" t="s">
        <v>74</v>
      </c>
      <c r="I753" t="s">
        <v>9128</v>
      </c>
      <c r="J753" t="s">
        <v>9129</v>
      </c>
      <c r="K753" t="s">
        <v>74</v>
      </c>
      <c r="L753" t="s">
        <v>74</v>
      </c>
      <c r="M753" t="s">
        <v>77</v>
      </c>
      <c r="N753" t="s">
        <v>78</v>
      </c>
      <c r="O753" t="s">
        <v>74</v>
      </c>
      <c r="P753" t="s">
        <v>74</v>
      </c>
      <c r="Q753" t="s">
        <v>74</v>
      </c>
      <c r="R753" t="s">
        <v>74</v>
      </c>
      <c r="S753" t="s">
        <v>74</v>
      </c>
      <c r="T753" t="s">
        <v>74</v>
      </c>
      <c r="U753" t="s">
        <v>9130</v>
      </c>
      <c r="V753" t="s">
        <v>9131</v>
      </c>
      <c r="W753" t="s">
        <v>9132</v>
      </c>
      <c r="X753" t="s">
        <v>9133</v>
      </c>
      <c r="Y753" t="s">
        <v>74</v>
      </c>
      <c r="Z753" t="s">
        <v>74</v>
      </c>
      <c r="AA753" t="s">
        <v>9134</v>
      </c>
      <c r="AB753" t="s">
        <v>9135</v>
      </c>
      <c r="AC753" t="s">
        <v>74</v>
      </c>
      <c r="AD753" t="s">
        <v>74</v>
      </c>
      <c r="AE753" t="s">
        <v>74</v>
      </c>
      <c r="AF753" t="s">
        <v>74</v>
      </c>
      <c r="AG753">
        <v>57</v>
      </c>
      <c r="AH753">
        <v>19</v>
      </c>
      <c r="AI753">
        <v>21</v>
      </c>
      <c r="AJ753">
        <v>0</v>
      </c>
      <c r="AK753">
        <v>12</v>
      </c>
      <c r="AL753" t="s">
        <v>8351</v>
      </c>
      <c r="AM753" t="s">
        <v>8352</v>
      </c>
      <c r="AN753" t="s">
        <v>8353</v>
      </c>
      <c r="AO753" t="s">
        <v>9136</v>
      </c>
      <c r="AP753" t="s">
        <v>9137</v>
      </c>
      <c r="AQ753" t="s">
        <v>74</v>
      </c>
      <c r="AR753" t="s">
        <v>9129</v>
      </c>
      <c r="AS753" t="s">
        <v>9129</v>
      </c>
      <c r="AT753" t="s">
        <v>9123</v>
      </c>
      <c r="AU753">
        <v>1997</v>
      </c>
      <c r="AV753">
        <v>114</v>
      </c>
      <c r="AW753">
        <v>4</v>
      </c>
      <c r="AX753" t="s">
        <v>74</v>
      </c>
      <c r="AY753" t="s">
        <v>74</v>
      </c>
      <c r="AZ753" t="s">
        <v>74</v>
      </c>
      <c r="BA753" t="s">
        <v>74</v>
      </c>
      <c r="BB753">
        <v>725</v>
      </c>
      <c r="BC753">
        <v>736</v>
      </c>
      <c r="BD753" t="s">
        <v>74</v>
      </c>
      <c r="BE753" t="s">
        <v>9138</v>
      </c>
      <c r="BF753" t="str">
        <f>HYPERLINK("http://dx.doi.org/10.2307/4089292","http://dx.doi.org/10.2307/4089292")</f>
        <v>http://dx.doi.org/10.2307/4089292</v>
      </c>
      <c r="BG753" t="s">
        <v>74</v>
      </c>
      <c r="BH753" t="s">
        <v>74</v>
      </c>
      <c r="BI753">
        <v>12</v>
      </c>
      <c r="BJ753" t="s">
        <v>439</v>
      </c>
      <c r="BK753" t="s">
        <v>98</v>
      </c>
      <c r="BL753" t="s">
        <v>417</v>
      </c>
      <c r="BM753" t="s">
        <v>9139</v>
      </c>
      <c r="BN753" t="s">
        <v>74</v>
      </c>
      <c r="BO753" t="s">
        <v>100</v>
      </c>
      <c r="BP753" t="s">
        <v>74</v>
      </c>
      <c r="BQ753" t="s">
        <v>74</v>
      </c>
      <c r="BR753" t="s">
        <v>101</v>
      </c>
      <c r="BS753" t="s">
        <v>9140</v>
      </c>
      <c r="BT753" t="str">
        <f>HYPERLINK("https%3A%2F%2Fwww.webofscience.com%2Fwos%2Fwoscc%2Ffull-record%2FWOS:A1997YA45100019","View Full Record in Web of Science")</f>
        <v>View Full Record in Web of Science</v>
      </c>
    </row>
    <row r="754" spans="1:72" x14ac:dyDescent="0.15">
      <c r="A754" t="s">
        <v>72</v>
      </c>
      <c r="B754" t="s">
        <v>9141</v>
      </c>
      <c r="C754" t="s">
        <v>74</v>
      </c>
      <c r="D754" t="s">
        <v>74</v>
      </c>
      <c r="E754" t="s">
        <v>74</v>
      </c>
      <c r="F754" t="s">
        <v>9141</v>
      </c>
      <c r="G754" t="s">
        <v>74</v>
      </c>
      <c r="H754" t="s">
        <v>74</v>
      </c>
      <c r="I754" t="s">
        <v>9142</v>
      </c>
      <c r="J754" t="s">
        <v>9143</v>
      </c>
      <c r="K754" t="s">
        <v>74</v>
      </c>
      <c r="L754" t="s">
        <v>74</v>
      </c>
      <c r="M754" t="s">
        <v>77</v>
      </c>
      <c r="N754" t="s">
        <v>78</v>
      </c>
      <c r="O754" t="s">
        <v>74</v>
      </c>
      <c r="P754" t="s">
        <v>74</v>
      </c>
      <c r="Q754" t="s">
        <v>74</v>
      </c>
      <c r="R754" t="s">
        <v>74</v>
      </c>
      <c r="S754" t="s">
        <v>74</v>
      </c>
      <c r="T754" t="s">
        <v>9144</v>
      </c>
      <c r="U754" t="s">
        <v>9145</v>
      </c>
      <c r="V754" t="s">
        <v>9146</v>
      </c>
      <c r="W754" t="s">
        <v>74</v>
      </c>
      <c r="X754" t="s">
        <v>74</v>
      </c>
      <c r="Y754" t="s">
        <v>9147</v>
      </c>
      <c r="Z754" t="s">
        <v>74</v>
      </c>
      <c r="AA754" t="s">
        <v>9148</v>
      </c>
      <c r="AB754" t="s">
        <v>9149</v>
      </c>
      <c r="AC754" t="s">
        <v>74</v>
      </c>
      <c r="AD754" t="s">
        <v>74</v>
      </c>
      <c r="AE754" t="s">
        <v>74</v>
      </c>
      <c r="AF754" t="s">
        <v>74</v>
      </c>
      <c r="AG754">
        <v>45</v>
      </c>
      <c r="AH754">
        <v>84</v>
      </c>
      <c r="AI754">
        <v>88</v>
      </c>
      <c r="AJ754">
        <v>0</v>
      </c>
      <c r="AK754">
        <v>5</v>
      </c>
      <c r="AL754" t="s">
        <v>2664</v>
      </c>
      <c r="AM754" t="s">
        <v>2665</v>
      </c>
      <c r="AN754" t="s">
        <v>4448</v>
      </c>
      <c r="AO754" t="s">
        <v>9150</v>
      </c>
      <c r="AP754" t="s">
        <v>74</v>
      </c>
      <c r="AQ754" t="s">
        <v>74</v>
      </c>
      <c r="AR754" t="s">
        <v>9151</v>
      </c>
      <c r="AS754" t="s">
        <v>9152</v>
      </c>
      <c r="AT754" t="s">
        <v>9123</v>
      </c>
      <c r="AU754">
        <v>1997</v>
      </c>
      <c r="AV754">
        <v>44</v>
      </c>
      <c r="AW754">
        <v>5</v>
      </c>
      <c r="AX754" t="s">
        <v>74</v>
      </c>
      <c r="AY754" t="s">
        <v>74</v>
      </c>
      <c r="AZ754" t="s">
        <v>74</v>
      </c>
      <c r="BA754" t="s">
        <v>74</v>
      </c>
      <c r="BB754">
        <v>543</v>
      </c>
      <c r="BC754">
        <v>560</v>
      </c>
      <c r="BD754" t="s">
        <v>74</v>
      </c>
      <c r="BE754" t="s">
        <v>9153</v>
      </c>
      <c r="BF754" t="str">
        <f>HYPERLINK("http://dx.doi.org/10.1080/08120099708728336","http://dx.doi.org/10.1080/08120099708728336")</f>
        <v>http://dx.doi.org/10.1080/08120099708728336</v>
      </c>
      <c r="BG754" t="s">
        <v>74</v>
      </c>
      <c r="BH754" t="s">
        <v>74</v>
      </c>
      <c r="BI754">
        <v>18</v>
      </c>
      <c r="BJ754" t="s">
        <v>769</v>
      </c>
      <c r="BK754" t="s">
        <v>98</v>
      </c>
      <c r="BL754" t="s">
        <v>471</v>
      </c>
      <c r="BM754" t="s">
        <v>9154</v>
      </c>
      <c r="BN754" t="s">
        <v>74</v>
      </c>
      <c r="BO754" t="s">
        <v>74</v>
      </c>
      <c r="BP754" t="s">
        <v>74</v>
      </c>
      <c r="BQ754" t="s">
        <v>74</v>
      </c>
      <c r="BR754" t="s">
        <v>101</v>
      </c>
      <c r="BS754" t="s">
        <v>9155</v>
      </c>
      <c r="BT754" t="str">
        <f>HYPERLINK("https%3A%2F%2Fwww.webofscience.com%2Fwos%2Fwoscc%2Ffull-record%2FWOS:A1997YB43000002","View Full Record in Web of Science")</f>
        <v>View Full Record in Web of Science</v>
      </c>
    </row>
    <row r="755" spans="1:72" x14ac:dyDescent="0.15">
      <c r="A755" t="s">
        <v>72</v>
      </c>
      <c r="B755" t="s">
        <v>9156</v>
      </c>
      <c r="C755" t="s">
        <v>74</v>
      </c>
      <c r="D755" t="s">
        <v>74</v>
      </c>
      <c r="E755" t="s">
        <v>74</v>
      </c>
      <c r="F755" t="s">
        <v>9156</v>
      </c>
      <c r="G755" t="s">
        <v>74</v>
      </c>
      <c r="H755" t="s">
        <v>74</v>
      </c>
      <c r="I755" t="s">
        <v>9157</v>
      </c>
      <c r="J755" t="s">
        <v>9143</v>
      </c>
      <c r="K755" t="s">
        <v>74</v>
      </c>
      <c r="L755" t="s">
        <v>74</v>
      </c>
      <c r="M755" t="s">
        <v>77</v>
      </c>
      <c r="N755" t="s">
        <v>78</v>
      </c>
      <c r="O755" t="s">
        <v>74</v>
      </c>
      <c r="P755" t="s">
        <v>74</v>
      </c>
      <c r="Q755" t="s">
        <v>74</v>
      </c>
      <c r="R755" t="s">
        <v>74</v>
      </c>
      <c r="S755" t="s">
        <v>74</v>
      </c>
      <c r="T755" t="s">
        <v>9158</v>
      </c>
      <c r="U755" t="s">
        <v>9159</v>
      </c>
      <c r="V755" t="s">
        <v>9160</v>
      </c>
      <c r="W755" t="s">
        <v>74</v>
      </c>
      <c r="X755" t="s">
        <v>74</v>
      </c>
      <c r="Y755" t="s">
        <v>9161</v>
      </c>
      <c r="Z755" t="s">
        <v>74</v>
      </c>
      <c r="AA755" t="s">
        <v>9162</v>
      </c>
      <c r="AB755" t="s">
        <v>9163</v>
      </c>
      <c r="AC755" t="s">
        <v>74</v>
      </c>
      <c r="AD755" t="s">
        <v>74</v>
      </c>
      <c r="AE755" t="s">
        <v>74</v>
      </c>
      <c r="AF755" t="s">
        <v>74</v>
      </c>
      <c r="AG755">
        <v>60</v>
      </c>
      <c r="AH755">
        <v>18</v>
      </c>
      <c r="AI755">
        <v>18</v>
      </c>
      <c r="AJ755">
        <v>0</v>
      </c>
      <c r="AK755">
        <v>3</v>
      </c>
      <c r="AL755" t="s">
        <v>2664</v>
      </c>
      <c r="AM755" t="s">
        <v>2665</v>
      </c>
      <c r="AN755" t="s">
        <v>4448</v>
      </c>
      <c r="AO755" t="s">
        <v>9150</v>
      </c>
      <c r="AP755" t="s">
        <v>74</v>
      </c>
      <c r="AQ755" t="s">
        <v>74</v>
      </c>
      <c r="AR755" t="s">
        <v>9151</v>
      </c>
      <c r="AS755" t="s">
        <v>9152</v>
      </c>
      <c r="AT755" t="s">
        <v>9123</v>
      </c>
      <c r="AU755">
        <v>1997</v>
      </c>
      <c r="AV755">
        <v>44</v>
      </c>
      <c r="AW755">
        <v>5</v>
      </c>
      <c r="AX755" t="s">
        <v>74</v>
      </c>
      <c r="AY755" t="s">
        <v>74</v>
      </c>
      <c r="AZ755" t="s">
        <v>74</v>
      </c>
      <c r="BA755" t="s">
        <v>74</v>
      </c>
      <c r="BB755">
        <v>579</v>
      </c>
      <c r="BC755">
        <v>596</v>
      </c>
      <c r="BD755" t="s">
        <v>74</v>
      </c>
      <c r="BE755" t="s">
        <v>9164</v>
      </c>
      <c r="BF755" t="str">
        <f>HYPERLINK("http://dx.doi.org/10.1080/08120099708728338","http://dx.doi.org/10.1080/08120099708728338")</f>
        <v>http://dx.doi.org/10.1080/08120099708728338</v>
      </c>
      <c r="BG755" t="s">
        <v>74</v>
      </c>
      <c r="BH755" t="s">
        <v>74</v>
      </c>
      <c r="BI755">
        <v>18</v>
      </c>
      <c r="BJ755" t="s">
        <v>769</v>
      </c>
      <c r="BK755" t="s">
        <v>98</v>
      </c>
      <c r="BL755" t="s">
        <v>471</v>
      </c>
      <c r="BM755" t="s">
        <v>9154</v>
      </c>
      <c r="BN755" t="s">
        <v>74</v>
      </c>
      <c r="BO755" t="s">
        <v>74</v>
      </c>
      <c r="BP755" t="s">
        <v>74</v>
      </c>
      <c r="BQ755" t="s">
        <v>74</v>
      </c>
      <c r="BR755" t="s">
        <v>101</v>
      </c>
      <c r="BS755" t="s">
        <v>9165</v>
      </c>
      <c r="BT755" t="str">
        <f>HYPERLINK("https%3A%2F%2Fwww.webofscience.com%2Fwos%2Fwoscc%2Ffull-record%2FWOS:A1997YB43000004","View Full Record in Web of Science")</f>
        <v>View Full Record in Web of Science</v>
      </c>
    </row>
    <row r="756" spans="1:72" x14ac:dyDescent="0.15">
      <c r="A756" t="s">
        <v>72</v>
      </c>
      <c r="B756" t="s">
        <v>9166</v>
      </c>
      <c r="C756" t="s">
        <v>74</v>
      </c>
      <c r="D756" t="s">
        <v>74</v>
      </c>
      <c r="E756" t="s">
        <v>74</v>
      </c>
      <c r="F756" t="s">
        <v>9166</v>
      </c>
      <c r="G756" t="s">
        <v>74</v>
      </c>
      <c r="H756" t="s">
        <v>74</v>
      </c>
      <c r="I756" t="s">
        <v>9167</v>
      </c>
      <c r="J756" t="s">
        <v>9143</v>
      </c>
      <c r="K756" t="s">
        <v>74</v>
      </c>
      <c r="L756" t="s">
        <v>74</v>
      </c>
      <c r="M756" t="s">
        <v>77</v>
      </c>
      <c r="N756" t="s">
        <v>78</v>
      </c>
      <c r="O756" t="s">
        <v>74</v>
      </c>
      <c r="P756" t="s">
        <v>74</v>
      </c>
      <c r="Q756" t="s">
        <v>74</v>
      </c>
      <c r="R756" t="s">
        <v>74</v>
      </c>
      <c r="S756" t="s">
        <v>74</v>
      </c>
      <c r="T756" t="s">
        <v>9168</v>
      </c>
      <c r="U756" t="s">
        <v>9169</v>
      </c>
      <c r="V756" t="s">
        <v>9170</v>
      </c>
      <c r="W756" t="s">
        <v>74</v>
      </c>
      <c r="X756" t="s">
        <v>74</v>
      </c>
      <c r="Y756" t="s">
        <v>9171</v>
      </c>
      <c r="Z756" t="s">
        <v>74</v>
      </c>
      <c r="AA756" t="s">
        <v>74</v>
      </c>
      <c r="AB756" t="s">
        <v>74</v>
      </c>
      <c r="AC756" t="s">
        <v>74</v>
      </c>
      <c r="AD756" t="s">
        <v>74</v>
      </c>
      <c r="AE756" t="s">
        <v>74</v>
      </c>
      <c r="AF756" t="s">
        <v>74</v>
      </c>
      <c r="AG756">
        <v>60</v>
      </c>
      <c r="AH756">
        <v>7</v>
      </c>
      <c r="AI756">
        <v>8</v>
      </c>
      <c r="AJ756">
        <v>0</v>
      </c>
      <c r="AK756">
        <v>8</v>
      </c>
      <c r="AL756" t="s">
        <v>9172</v>
      </c>
      <c r="AM756" t="s">
        <v>9173</v>
      </c>
      <c r="AN756" t="s">
        <v>9174</v>
      </c>
      <c r="AO756" t="s">
        <v>9150</v>
      </c>
      <c r="AP756" t="s">
        <v>74</v>
      </c>
      <c r="AQ756" t="s">
        <v>74</v>
      </c>
      <c r="AR756" t="s">
        <v>9151</v>
      </c>
      <c r="AS756" t="s">
        <v>9152</v>
      </c>
      <c r="AT756" t="s">
        <v>9123</v>
      </c>
      <c r="AU756">
        <v>1997</v>
      </c>
      <c r="AV756">
        <v>44</v>
      </c>
      <c r="AW756">
        <v>5</v>
      </c>
      <c r="AX756" t="s">
        <v>74</v>
      </c>
      <c r="AY756" t="s">
        <v>74</v>
      </c>
      <c r="AZ756" t="s">
        <v>74</v>
      </c>
      <c r="BA756" t="s">
        <v>74</v>
      </c>
      <c r="BB756">
        <v>655</v>
      </c>
      <c r="BC756">
        <v>665</v>
      </c>
      <c r="BD756" t="s">
        <v>74</v>
      </c>
      <c r="BE756" t="s">
        <v>9175</v>
      </c>
      <c r="BF756" t="str">
        <f>HYPERLINK("http://dx.doi.org/10.1080/08120099708728343","http://dx.doi.org/10.1080/08120099708728343")</f>
        <v>http://dx.doi.org/10.1080/08120099708728343</v>
      </c>
      <c r="BG756" t="s">
        <v>74</v>
      </c>
      <c r="BH756" t="s">
        <v>74</v>
      </c>
      <c r="BI756">
        <v>11</v>
      </c>
      <c r="BJ756" t="s">
        <v>769</v>
      </c>
      <c r="BK756" t="s">
        <v>98</v>
      </c>
      <c r="BL756" t="s">
        <v>471</v>
      </c>
      <c r="BM756" t="s">
        <v>9154</v>
      </c>
      <c r="BN756" t="s">
        <v>74</v>
      </c>
      <c r="BO756" t="s">
        <v>74</v>
      </c>
      <c r="BP756" t="s">
        <v>74</v>
      </c>
      <c r="BQ756" t="s">
        <v>74</v>
      </c>
      <c r="BR756" t="s">
        <v>101</v>
      </c>
      <c r="BS756" t="s">
        <v>9176</v>
      </c>
      <c r="BT756" t="str">
        <f>HYPERLINK("https%3A%2F%2Fwww.webofscience.com%2Fwos%2Fwoscc%2Ffull-record%2FWOS:A1997YB43000009","View Full Record in Web of Science")</f>
        <v>View Full Record in Web of Science</v>
      </c>
    </row>
    <row r="757" spans="1:72" x14ac:dyDescent="0.15">
      <c r="A757" t="s">
        <v>72</v>
      </c>
      <c r="B757" t="s">
        <v>9177</v>
      </c>
      <c r="C757" t="s">
        <v>74</v>
      </c>
      <c r="D757" t="s">
        <v>74</v>
      </c>
      <c r="E757" t="s">
        <v>74</v>
      </c>
      <c r="F757" t="s">
        <v>9177</v>
      </c>
      <c r="G757" t="s">
        <v>74</v>
      </c>
      <c r="H757" t="s">
        <v>74</v>
      </c>
      <c r="I757" t="s">
        <v>9178</v>
      </c>
      <c r="J757" t="s">
        <v>9143</v>
      </c>
      <c r="K757" t="s">
        <v>74</v>
      </c>
      <c r="L757" t="s">
        <v>74</v>
      </c>
      <c r="M757" t="s">
        <v>77</v>
      </c>
      <c r="N757" t="s">
        <v>78</v>
      </c>
      <c r="O757" t="s">
        <v>74</v>
      </c>
      <c r="P757" t="s">
        <v>74</v>
      </c>
      <c r="Q757" t="s">
        <v>74</v>
      </c>
      <c r="R757" t="s">
        <v>74</v>
      </c>
      <c r="S757" t="s">
        <v>74</v>
      </c>
      <c r="T757" t="s">
        <v>9179</v>
      </c>
      <c r="U757" t="s">
        <v>9180</v>
      </c>
      <c r="V757" t="s">
        <v>9181</v>
      </c>
      <c r="W757" t="s">
        <v>9182</v>
      </c>
      <c r="X757" t="s">
        <v>9183</v>
      </c>
      <c r="Y757" t="s">
        <v>74</v>
      </c>
      <c r="Z757" t="s">
        <v>74</v>
      </c>
      <c r="AA757" t="s">
        <v>9184</v>
      </c>
      <c r="AB757" t="s">
        <v>74</v>
      </c>
      <c r="AC757" t="s">
        <v>74</v>
      </c>
      <c r="AD757" t="s">
        <v>74</v>
      </c>
      <c r="AE757" t="s">
        <v>74</v>
      </c>
      <c r="AF757" t="s">
        <v>74</v>
      </c>
      <c r="AG757">
        <v>19</v>
      </c>
      <c r="AH757">
        <v>11</v>
      </c>
      <c r="AI757">
        <v>11</v>
      </c>
      <c r="AJ757">
        <v>0</v>
      </c>
      <c r="AK757">
        <v>5</v>
      </c>
      <c r="AL757" t="s">
        <v>9172</v>
      </c>
      <c r="AM757" t="s">
        <v>9173</v>
      </c>
      <c r="AN757" t="s">
        <v>9174</v>
      </c>
      <c r="AO757" t="s">
        <v>9150</v>
      </c>
      <c r="AP757" t="s">
        <v>74</v>
      </c>
      <c r="AQ757" t="s">
        <v>74</v>
      </c>
      <c r="AR757" t="s">
        <v>9151</v>
      </c>
      <c r="AS757" t="s">
        <v>9152</v>
      </c>
      <c r="AT757" t="s">
        <v>9123</v>
      </c>
      <c r="AU757">
        <v>1997</v>
      </c>
      <c r="AV757">
        <v>44</v>
      </c>
      <c r="AW757">
        <v>5</v>
      </c>
      <c r="AX757" t="s">
        <v>74</v>
      </c>
      <c r="AY757" t="s">
        <v>74</v>
      </c>
      <c r="AZ757" t="s">
        <v>74</v>
      </c>
      <c r="BA757" t="s">
        <v>74</v>
      </c>
      <c r="BB757">
        <v>667</v>
      </c>
      <c r="BC757">
        <v>675</v>
      </c>
      <c r="BD757" t="s">
        <v>74</v>
      </c>
      <c r="BE757" t="s">
        <v>9185</v>
      </c>
      <c r="BF757" t="str">
        <f>HYPERLINK("http://dx.doi.org/10.1080/08120099708728344","http://dx.doi.org/10.1080/08120099708728344")</f>
        <v>http://dx.doi.org/10.1080/08120099708728344</v>
      </c>
      <c r="BG757" t="s">
        <v>74</v>
      </c>
      <c r="BH757" t="s">
        <v>74</v>
      </c>
      <c r="BI757">
        <v>9</v>
      </c>
      <c r="BJ757" t="s">
        <v>769</v>
      </c>
      <c r="BK757" t="s">
        <v>98</v>
      </c>
      <c r="BL757" t="s">
        <v>471</v>
      </c>
      <c r="BM757" t="s">
        <v>9154</v>
      </c>
      <c r="BN757" t="s">
        <v>74</v>
      </c>
      <c r="BO757" t="s">
        <v>74</v>
      </c>
      <c r="BP757" t="s">
        <v>74</v>
      </c>
      <c r="BQ757" t="s">
        <v>74</v>
      </c>
      <c r="BR757" t="s">
        <v>101</v>
      </c>
      <c r="BS757" t="s">
        <v>9186</v>
      </c>
      <c r="BT757" t="str">
        <f>HYPERLINK("https%3A%2F%2Fwww.webofscience.com%2Fwos%2Fwoscc%2Ffull-record%2FWOS:A1997YB43000010","View Full Record in Web of Science")</f>
        <v>View Full Record in Web of Science</v>
      </c>
    </row>
    <row r="758" spans="1:72" x14ac:dyDescent="0.15">
      <c r="A758" t="s">
        <v>72</v>
      </c>
      <c r="B758" t="s">
        <v>9187</v>
      </c>
      <c r="C758" t="s">
        <v>74</v>
      </c>
      <c r="D758" t="s">
        <v>74</v>
      </c>
      <c r="E758" t="s">
        <v>74</v>
      </c>
      <c r="F758" t="s">
        <v>9187</v>
      </c>
      <c r="G758" t="s">
        <v>74</v>
      </c>
      <c r="H758" t="s">
        <v>74</v>
      </c>
      <c r="I758" t="s">
        <v>9188</v>
      </c>
      <c r="J758" t="s">
        <v>9143</v>
      </c>
      <c r="K758" t="s">
        <v>74</v>
      </c>
      <c r="L758" t="s">
        <v>74</v>
      </c>
      <c r="M758" t="s">
        <v>77</v>
      </c>
      <c r="N758" t="s">
        <v>78</v>
      </c>
      <c r="O758" t="s">
        <v>74</v>
      </c>
      <c r="P758" t="s">
        <v>74</v>
      </c>
      <c r="Q758" t="s">
        <v>74</v>
      </c>
      <c r="R758" t="s">
        <v>74</v>
      </c>
      <c r="S758" t="s">
        <v>74</v>
      </c>
      <c r="T758" t="s">
        <v>9189</v>
      </c>
      <c r="U758" t="s">
        <v>9190</v>
      </c>
      <c r="V758" t="s">
        <v>9191</v>
      </c>
      <c r="W758" t="s">
        <v>9192</v>
      </c>
      <c r="X758" t="s">
        <v>9193</v>
      </c>
      <c r="Y758" t="s">
        <v>74</v>
      </c>
      <c r="Z758" t="s">
        <v>74</v>
      </c>
      <c r="AA758" t="s">
        <v>9194</v>
      </c>
      <c r="AB758" t="s">
        <v>74</v>
      </c>
      <c r="AC758" t="s">
        <v>74</v>
      </c>
      <c r="AD758" t="s">
        <v>74</v>
      </c>
      <c r="AE758" t="s">
        <v>74</v>
      </c>
      <c r="AF758" t="s">
        <v>74</v>
      </c>
      <c r="AG758">
        <v>31</v>
      </c>
      <c r="AH758">
        <v>2</v>
      </c>
      <c r="AI758">
        <v>2</v>
      </c>
      <c r="AJ758">
        <v>0</v>
      </c>
      <c r="AK758">
        <v>2</v>
      </c>
      <c r="AL758" t="s">
        <v>9172</v>
      </c>
      <c r="AM758" t="s">
        <v>9173</v>
      </c>
      <c r="AN758" t="s">
        <v>9174</v>
      </c>
      <c r="AO758" t="s">
        <v>9150</v>
      </c>
      <c r="AP758" t="s">
        <v>74</v>
      </c>
      <c r="AQ758" t="s">
        <v>74</v>
      </c>
      <c r="AR758" t="s">
        <v>9151</v>
      </c>
      <c r="AS758" t="s">
        <v>9152</v>
      </c>
      <c r="AT758" t="s">
        <v>9123</v>
      </c>
      <c r="AU758">
        <v>1997</v>
      </c>
      <c r="AV758">
        <v>44</v>
      </c>
      <c r="AW758">
        <v>5</v>
      </c>
      <c r="AX758" t="s">
        <v>74</v>
      </c>
      <c r="AY758" t="s">
        <v>74</v>
      </c>
      <c r="AZ758" t="s">
        <v>74</v>
      </c>
      <c r="BA758" t="s">
        <v>74</v>
      </c>
      <c r="BB758">
        <v>677</v>
      </c>
      <c r="BC758">
        <v>688</v>
      </c>
      <c r="BD758" t="s">
        <v>74</v>
      </c>
      <c r="BE758" t="s">
        <v>9195</v>
      </c>
      <c r="BF758" t="str">
        <f>HYPERLINK("http://dx.doi.org/10.1080/08120099708728345","http://dx.doi.org/10.1080/08120099708728345")</f>
        <v>http://dx.doi.org/10.1080/08120099708728345</v>
      </c>
      <c r="BG758" t="s">
        <v>74</v>
      </c>
      <c r="BH758" t="s">
        <v>74</v>
      </c>
      <c r="BI758">
        <v>12</v>
      </c>
      <c r="BJ758" t="s">
        <v>769</v>
      </c>
      <c r="BK758" t="s">
        <v>98</v>
      </c>
      <c r="BL758" t="s">
        <v>471</v>
      </c>
      <c r="BM758" t="s">
        <v>9154</v>
      </c>
      <c r="BN758" t="s">
        <v>74</v>
      </c>
      <c r="BO758" t="s">
        <v>74</v>
      </c>
      <c r="BP758" t="s">
        <v>74</v>
      </c>
      <c r="BQ758" t="s">
        <v>74</v>
      </c>
      <c r="BR758" t="s">
        <v>101</v>
      </c>
      <c r="BS758" t="s">
        <v>9196</v>
      </c>
      <c r="BT758" t="str">
        <f>HYPERLINK("https%3A%2F%2Fwww.webofscience.com%2Fwos%2Fwoscc%2Ffull-record%2FWOS:A1997YB43000011","View Full Record in Web of Science")</f>
        <v>View Full Record in Web of Science</v>
      </c>
    </row>
    <row r="759" spans="1:72" x14ac:dyDescent="0.15">
      <c r="A759" t="s">
        <v>72</v>
      </c>
      <c r="B759" t="s">
        <v>9197</v>
      </c>
      <c r="C759" t="s">
        <v>74</v>
      </c>
      <c r="D759" t="s">
        <v>74</v>
      </c>
      <c r="E759" t="s">
        <v>74</v>
      </c>
      <c r="F759" t="s">
        <v>9197</v>
      </c>
      <c r="G759" t="s">
        <v>74</v>
      </c>
      <c r="H759" t="s">
        <v>74</v>
      </c>
      <c r="I759" t="s">
        <v>9198</v>
      </c>
      <c r="J759" t="s">
        <v>9199</v>
      </c>
      <c r="K759" t="s">
        <v>74</v>
      </c>
      <c r="L759" t="s">
        <v>74</v>
      </c>
      <c r="M759" t="s">
        <v>77</v>
      </c>
      <c r="N759" t="s">
        <v>1249</v>
      </c>
      <c r="O759" t="s">
        <v>74</v>
      </c>
      <c r="P759" t="s">
        <v>74</v>
      </c>
      <c r="Q759" t="s">
        <v>74</v>
      </c>
      <c r="R759" t="s">
        <v>74</v>
      </c>
      <c r="S759" t="s">
        <v>74</v>
      </c>
      <c r="T759" t="s">
        <v>74</v>
      </c>
      <c r="U759" t="s">
        <v>9200</v>
      </c>
      <c r="V759" t="s">
        <v>74</v>
      </c>
      <c r="W759" t="s">
        <v>9201</v>
      </c>
      <c r="X759" t="s">
        <v>9202</v>
      </c>
      <c r="Y759" t="s">
        <v>9203</v>
      </c>
      <c r="Z759" t="s">
        <v>74</v>
      </c>
      <c r="AA759" t="s">
        <v>74</v>
      </c>
      <c r="AB759" t="s">
        <v>74</v>
      </c>
      <c r="AC759" t="s">
        <v>74</v>
      </c>
      <c r="AD759" t="s">
        <v>74</v>
      </c>
      <c r="AE759" t="s">
        <v>74</v>
      </c>
      <c r="AF759" t="s">
        <v>74</v>
      </c>
      <c r="AG759">
        <v>7</v>
      </c>
      <c r="AH759">
        <v>5</v>
      </c>
      <c r="AI759">
        <v>5</v>
      </c>
      <c r="AJ759">
        <v>0</v>
      </c>
      <c r="AK759">
        <v>1</v>
      </c>
      <c r="AL759" t="s">
        <v>627</v>
      </c>
      <c r="AM759" t="s">
        <v>628</v>
      </c>
      <c r="AN759" t="s">
        <v>8550</v>
      </c>
      <c r="AO759" t="s">
        <v>9204</v>
      </c>
      <c r="AP759" t="s">
        <v>74</v>
      </c>
      <c r="AQ759" t="s">
        <v>74</v>
      </c>
      <c r="AR759" t="s">
        <v>9205</v>
      </c>
      <c r="AS759" t="s">
        <v>9206</v>
      </c>
      <c r="AT759" t="s">
        <v>9123</v>
      </c>
      <c r="AU759">
        <v>1997</v>
      </c>
      <c r="AV759">
        <v>78</v>
      </c>
      <c r="AW759">
        <v>10</v>
      </c>
      <c r="AX759" t="s">
        <v>74</v>
      </c>
      <c r="AY759" t="s">
        <v>74</v>
      </c>
      <c r="AZ759" t="s">
        <v>74</v>
      </c>
      <c r="BA759" t="s">
        <v>74</v>
      </c>
      <c r="BB759">
        <v>2246</v>
      </c>
      <c r="BC759">
        <v>2247</v>
      </c>
      <c r="BD759" t="s">
        <v>74</v>
      </c>
      <c r="BE759" t="s">
        <v>74</v>
      </c>
      <c r="BF759" t="s">
        <v>74</v>
      </c>
      <c r="BG759" t="s">
        <v>74</v>
      </c>
      <c r="BH759" t="s">
        <v>74</v>
      </c>
      <c r="BI759">
        <v>2</v>
      </c>
      <c r="BJ759" t="s">
        <v>635</v>
      </c>
      <c r="BK759" t="s">
        <v>98</v>
      </c>
      <c r="BL759" t="s">
        <v>635</v>
      </c>
      <c r="BM759" t="s">
        <v>9207</v>
      </c>
      <c r="BN759" t="s">
        <v>74</v>
      </c>
      <c r="BO759" t="s">
        <v>74</v>
      </c>
      <c r="BP759" t="s">
        <v>74</v>
      </c>
      <c r="BQ759" t="s">
        <v>74</v>
      </c>
      <c r="BR759" t="s">
        <v>101</v>
      </c>
      <c r="BS759" t="s">
        <v>9208</v>
      </c>
      <c r="BT759" t="str">
        <f>HYPERLINK("https%3A%2F%2Fwww.webofscience.com%2Fwos%2Fwoscc%2Ffull-record%2FWOS:A1997YE02800012","View Full Record in Web of Science")</f>
        <v>View Full Record in Web of Science</v>
      </c>
    </row>
    <row r="760" spans="1:72" x14ac:dyDescent="0.15">
      <c r="A760" t="s">
        <v>72</v>
      </c>
      <c r="B760" t="s">
        <v>9209</v>
      </c>
      <c r="C760" t="s">
        <v>74</v>
      </c>
      <c r="D760" t="s">
        <v>74</v>
      </c>
      <c r="E760" t="s">
        <v>74</v>
      </c>
      <c r="F760" t="s">
        <v>9209</v>
      </c>
      <c r="G760" t="s">
        <v>74</v>
      </c>
      <c r="H760" t="s">
        <v>74</v>
      </c>
      <c r="I760" t="s">
        <v>9210</v>
      </c>
      <c r="J760" t="s">
        <v>403</v>
      </c>
      <c r="K760" t="s">
        <v>74</v>
      </c>
      <c r="L760" t="s">
        <v>74</v>
      </c>
      <c r="M760" t="s">
        <v>77</v>
      </c>
      <c r="N760" t="s">
        <v>78</v>
      </c>
      <c r="O760" t="s">
        <v>74</v>
      </c>
      <c r="P760" t="s">
        <v>74</v>
      </c>
      <c r="Q760" t="s">
        <v>74</v>
      </c>
      <c r="R760" t="s">
        <v>74</v>
      </c>
      <c r="S760" t="s">
        <v>74</v>
      </c>
      <c r="T760" t="s">
        <v>74</v>
      </c>
      <c r="U760" t="s">
        <v>9211</v>
      </c>
      <c r="V760" t="s">
        <v>9212</v>
      </c>
      <c r="W760" t="s">
        <v>9213</v>
      </c>
      <c r="X760" t="s">
        <v>1610</v>
      </c>
      <c r="Y760" t="s">
        <v>9214</v>
      </c>
      <c r="Z760" t="s">
        <v>74</v>
      </c>
      <c r="AA760" t="s">
        <v>74</v>
      </c>
      <c r="AB760" t="s">
        <v>74</v>
      </c>
      <c r="AC760" t="s">
        <v>74</v>
      </c>
      <c r="AD760" t="s">
        <v>74</v>
      </c>
      <c r="AE760" t="s">
        <v>74</v>
      </c>
      <c r="AF760" t="s">
        <v>74</v>
      </c>
      <c r="AG760">
        <v>27</v>
      </c>
      <c r="AH760">
        <v>73</v>
      </c>
      <c r="AI760">
        <v>76</v>
      </c>
      <c r="AJ760">
        <v>0</v>
      </c>
      <c r="AK760">
        <v>6</v>
      </c>
      <c r="AL760" t="s">
        <v>410</v>
      </c>
      <c r="AM760" t="s">
        <v>411</v>
      </c>
      <c r="AN760" t="s">
        <v>9215</v>
      </c>
      <c r="AO760" t="s">
        <v>413</v>
      </c>
      <c r="AP760" t="s">
        <v>74</v>
      </c>
      <c r="AQ760" t="s">
        <v>74</v>
      </c>
      <c r="AR760" t="s">
        <v>414</v>
      </c>
      <c r="AS760" t="s">
        <v>415</v>
      </c>
      <c r="AT760" t="s">
        <v>9123</v>
      </c>
      <c r="AU760">
        <v>1997</v>
      </c>
      <c r="AV760">
        <v>75</v>
      </c>
      <c r="AW760">
        <v>10</v>
      </c>
      <c r="AX760" t="s">
        <v>74</v>
      </c>
      <c r="AY760" t="s">
        <v>74</v>
      </c>
      <c r="AZ760" t="s">
        <v>74</v>
      </c>
      <c r="BA760" t="s">
        <v>74</v>
      </c>
      <c r="BB760">
        <v>1695</v>
      </c>
      <c r="BC760">
        <v>1706</v>
      </c>
      <c r="BD760" t="s">
        <v>74</v>
      </c>
      <c r="BE760" t="s">
        <v>9216</v>
      </c>
      <c r="BF760" t="str">
        <f>HYPERLINK("http://dx.doi.org/10.1139/z97-796","http://dx.doi.org/10.1139/z97-796")</f>
        <v>http://dx.doi.org/10.1139/z97-796</v>
      </c>
      <c r="BG760" t="s">
        <v>74</v>
      </c>
      <c r="BH760" t="s">
        <v>74</v>
      </c>
      <c r="BI760">
        <v>12</v>
      </c>
      <c r="BJ760" t="s">
        <v>417</v>
      </c>
      <c r="BK760" t="s">
        <v>98</v>
      </c>
      <c r="BL760" t="s">
        <v>417</v>
      </c>
      <c r="BM760" t="s">
        <v>9217</v>
      </c>
      <c r="BN760" t="s">
        <v>74</v>
      </c>
      <c r="BO760" t="s">
        <v>74</v>
      </c>
      <c r="BP760" t="s">
        <v>74</v>
      </c>
      <c r="BQ760" t="s">
        <v>74</v>
      </c>
      <c r="BR760" t="s">
        <v>101</v>
      </c>
      <c r="BS760" t="s">
        <v>9218</v>
      </c>
      <c r="BT760" t="str">
        <f>HYPERLINK("https%3A%2F%2Fwww.webofscience.com%2Fwos%2Fwoscc%2Ffull-record%2FWOS:A1997YE06500015","View Full Record in Web of Science")</f>
        <v>View Full Record in Web of Science</v>
      </c>
    </row>
    <row r="761" spans="1:72" x14ac:dyDescent="0.15">
      <c r="A761" t="s">
        <v>72</v>
      </c>
      <c r="B761" t="s">
        <v>7229</v>
      </c>
      <c r="C761" t="s">
        <v>74</v>
      </c>
      <c r="D761" t="s">
        <v>74</v>
      </c>
      <c r="E761" t="s">
        <v>74</v>
      </c>
      <c r="F761" t="s">
        <v>7229</v>
      </c>
      <c r="G761" t="s">
        <v>74</v>
      </c>
      <c r="H761" t="s">
        <v>74</v>
      </c>
      <c r="I761" t="s">
        <v>9219</v>
      </c>
      <c r="J761" t="s">
        <v>9220</v>
      </c>
      <c r="K761" t="s">
        <v>74</v>
      </c>
      <c r="L761" t="s">
        <v>74</v>
      </c>
      <c r="M761" t="s">
        <v>77</v>
      </c>
      <c r="N761" t="s">
        <v>494</v>
      </c>
      <c r="O761" t="s">
        <v>74</v>
      </c>
      <c r="P761" t="s">
        <v>74</v>
      </c>
      <c r="Q761" t="s">
        <v>74</v>
      </c>
      <c r="R761" t="s">
        <v>74</v>
      </c>
      <c r="S761" t="s">
        <v>74</v>
      </c>
      <c r="T761" t="s">
        <v>9221</v>
      </c>
      <c r="U761" t="s">
        <v>9222</v>
      </c>
      <c r="V761" t="s">
        <v>9223</v>
      </c>
      <c r="W761" t="s">
        <v>74</v>
      </c>
      <c r="X761" t="s">
        <v>74</v>
      </c>
      <c r="Y761" t="s">
        <v>9224</v>
      </c>
      <c r="Z761" t="s">
        <v>74</v>
      </c>
      <c r="AA761" t="s">
        <v>74</v>
      </c>
      <c r="AB761" t="s">
        <v>74</v>
      </c>
      <c r="AC761" t="s">
        <v>74</v>
      </c>
      <c r="AD761" t="s">
        <v>74</v>
      </c>
      <c r="AE761" t="s">
        <v>74</v>
      </c>
      <c r="AF761" t="s">
        <v>74</v>
      </c>
      <c r="AG761">
        <v>76</v>
      </c>
      <c r="AH761">
        <v>327</v>
      </c>
      <c r="AI761">
        <v>356</v>
      </c>
      <c r="AJ761">
        <v>6</v>
      </c>
      <c r="AK761">
        <v>88</v>
      </c>
      <c r="AL761" t="s">
        <v>9225</v>
      </c>
      <c r="AM761" t="s">
        <v>4103</v>
      </c>
      <c r="AN761" t="s">
        <v>9226</v>
      </c>
      <c r="AO761" t="s">
        <v>9227</v>
      </c>
      <c r="AP761" t="s">
        <v>9228</v>
      </c>
      <c r="AQ761" t="s">
        <v>74</v>
      </c>
      <c r="AR761" t="s">
        <v>9229</v>
      </c>
      <c r="AS761" t="s">
        <v>9230</v>
      </c>
      <c r="AT761" t="s">
        <v>9123</v>
      </c>
      <c r="AU761">
        <v>1997</v>
      </c>
      <c r="AV761">
        <v>53</v>
      </c>
      <c r="AW761">
        <v>10</v>
      </c>
      <c r="AX761" t="s">
        <v>74</v>
      </c>
      <c r="AY761" t="s">
        <v>74</v>
      </c>
      <c r="AZ761" t="s">
        <v>74</v>
      </c>
      <c r="BA761" t="s">
        <v>74</v>
      </c>
      <c r="BB761">
        <v>830</v>
      </c>
      <c r="BC761">
        <v>841</v>
      </c>
      <c r="BD761" t="s">
        <v>74</v>
      </c>
      <c r="BE761" t="s">
        <v>9231</v>
      </c>
      <c r="BF761" t="str">
        <f>HYPERLINK("http://dx.doi.org/10.1007/s000180050103","http://dx.doi.org/10.1007/s000180050103")</f>
        <v>http://dx.doi.org/10.1007/s000180050103</v>
      </c>
      <c r="BG761" t="s">
        <v>74</v>
      </c>
      <c r="BH761" t="s">
        <v>74</v>
      </c>
      <c r="BI761">
        <v>12</v>
      </c>
      <c r="BJ761" t="s">
        <v>9232</v>
      </c>
      <c r="BK761" t="s">
        <v>98</v>
      </c>
      <c r="BL761" t="s">
        <v>9232</v>
      </c>
      <c r="BM761" t="s">
        <v>9233</v>
      </c>
      <c r="BN761">
        <v>9413552</v>
      </c>
      <c r="BO761" t="s">
        <v>1351</v>
      </c>
      <c r="BP761" t="s">
        <v>74</v>
      </c>
      <c r="BQ761" t="s">
        <v>74</v>
      </c>
      <c r="BR761" t="s">
        <v>101</v>
      </c>
      <c r="BS761" t="s">
        <v>9234</v>
      </c>
      <c r="BT761" t="str">
        <f>HYPERLINK("https%3A%2F%2Fwww.webofscience.com%2Fwos%2Fwoscc%2Ffull-record%2FWOS:A1997YK40800006","View Full Record in Web of Science")</f>
        <v>View Full Record in Web of Science</v>
      </c>
    </row>
    <row r="762" spans="1:72" x14ac:dyDescent="0.15">
      <c r="A762" t="s">
        <v>72</v>
      </c>
      <c r="B762" t="s">
        <v>9235</v>
      </c>
      <c r="C762" t="s">
        <v>74</v>
      </c>
      <c r="D762" t="s">
        <v>74</v>
      </c>
      <c r="E762" t="s">
        <v>74</v>
      </c>
      <c r="F762" t="s">
        <v>9235</v>
      </c>
      <c r="G762" t="s">
        <v>74</v>
      </c>
      <c r="H762" t="s">
        <v>74</v>
      </c>
      <c r="I762" t="s">
        <v>9236</v>
      </c>
      <c r="J762" t="s">
        <v>1409</v>
      </c>
      <c r="K762" t="s">
        <v>74</v>
      </c>
      <c r="L762" t="s">
        <v>74</v>
      </c>
      <c r="M762" t="s">
        <v>77</v>
      </c>
      <c r="N762" t="s">
        <v>78</v>
      </c>
      <c r="O762" t="s">
        <v>74</v>
      </c>
      <c r="P762" t="s">
        <v>74</v>
      </c>
      <c r="Q762" t="s">
        <v>74</v>
      </c>
      <c r="R762" t="s">
        <v>74</v>
      </c>
      <c r="S762" t="s">
        <v>74</v>
      </c>
      <c r="T762" t="s">
        <v>74</v>
      </c>
      <c r="U762" t="s">
        <v>9237</v>
      </c>
      <c r="V762" t="s">
        <v>9238</v>
      </c>
      <c r="W762" t="s">
        <v>74</v>
      </c>
      <c r="X762" t="s">
        <v>74</v>
      </c>
      <c r="Y762" t="s">
        <v>9239</v>
      </c>
      <c r="Z762" t="s">
        <v>74</v>
      </c>
      <c r="AA762" t="s">
        <v>74</v>
      </c>
      <c r="AB762" t="s">
        <v>74</v>
      </c>
      <c r="AC762" t="s">
        <v>74</v>
      </c>
      <c r="AD762" t="s">
        <v>74</v>
      </c>
      <c r="AE762" t="s">
        <v>74</v>
      </c>
      <c r="AF762" t="s">
        <v>74</v>
      </c>
      <c r="AG762">
        <v>37</v>
      </c>
      <c r="AH762">
        <v>83</v>
      </c>
      <c r="AI762">
        <v>85</v>
      </c>
      <c r="AJ762">
        <v>0</v>
      </c>
      <c r="AK762">
        <v>13</v>
      </c>
      <c r="AL762" t="s">
        <v>897</v>
      </c>
      <c r="AM762" t="s">
        <v>244</v>
      </c>
      <c r="AN762" t="s">
        <v>7783</v>
      </c>
      <c r="AO762" t="s">
        <v>1417</v>
      </c>
      <c r="AP762" t="s">
        <v>74</v>
      </c>
      <c r="AQ762" t="s">
        <v>74</v>
      </c>
      <c r="AR762" t="s">
        <v>1418</v>
      </c>
      <c r="AS762" t="s">
        <v>1419</v>
      </c>
      <c r="AT762" t="s">
        <v>9123</v>
      </c>
      <c r="AU762">
        <v>1997</v>
      </c>
      <c r="AV762">
        <v>13</v>
      </c>
      <c r="AW762">
        <v>10</v>
      </c>
      <c r="AX762" t="s">
        <v>74</v>
      </c>
      <c r="AY762" t="s">
        <v>74</v>
      </c>
      <c r="AZ762" t="s">
        <v>74</v>
      </c>
      <c r="BA762" t="s">
        <v>74</v>
      </c>
      <c r="BB762">
        <v>745</v>
      </c>
      <c r="BC762">
        <v>756</v>
      </c>
      <c r="BD762" t="s">
        <v>74</v>
      </c>
      <c r="BE762" t="s">
        <v>9240</v>
      </c>
      <c r="BF762" t="str">
        <f>HYPERLINK("http://dx.doi.org/10.1007/s003820050195","http://dx.doi.org/10.1007/s003820050195")</f>
        <v>http://dx.doi.org/10.1007/s003820050195</v>
      </c>
      <c r="BG762" t="s">
        <v>74</v>
      </c>
      <c r="BH762" t="s">
        <v>74</v>
      </c>
      <c r="BI762">
        <v>12</v>
      </c>
      <c r="BJ762" t="s">
        <v>635</v>
      </c>
      <c r="BK762" t="s">
        <v>98</v>
      </c>
      <c r="BL762" t="s">
        <v>635</v>
      </c>
      <c r="BM762" t="s">
        <v>9241</v>
      </c>
      <c r="BN762" t="s">
        <v>74</v>
      </c>
      <c r="BO762" t="s">
        <v>74</v>
      </c>
      <c r="BP762" t="s">
        <v>74</v>
      </c>
      <c r="BQ762" t="s">
        <v>74</v>
      </c>
      <c r="BR762" t="s">
        <v>101</v>
      </c>
      <c r="BS762" t="s">
        <v>9242</v>
      </c>
      <c r="BT762" t="str">
        <f>HYPERLINK("https%3A%2F%2Fwww.webofscience.com%2Fwos%2Fwoscc%2Ffull-record%2FWOS:A1997YC09900006","View Full Record in Web of Science")</f>
        <v>View Full Record in Web of Science</v>
      </c>
    </row>
    <row r="763" spans="1:72" x14ac:dyDescent="0.15">
      <c r="A763" t="s">
        <v>72</v>
      </c>
      <c r="B763" t="s">
        <v>1423</v>
      </c>
      <c r="C763" t="s">
        <v>74</v>
      </c>
      <c r="D763" t="s">
        <v>74</v>
      </c>
      <c r="E763" t="s">
        <v>74</v>
      </c>
      <c r="F763" t="s">
        <v>1423</v>
      </c>
      <c r="G763" t="s">
        <v>74</v>
      </c>
      <c r="H763" t="s">
        <v>74</v>
      </c>
      <c r="I763" t="s">
        <v>9243</v>
      </c>
      <c r="J763" t="s">
        <v>1425</v>
      </c>
      <c r="K763" t="s">
        <v>74</v>
      </c>
      <c r="L763" t="s">
        <v>74</v>
      </c>
      <c r="M763" t="s">
        <v>77</v>
      </c>
      <c r="N763" t="s">
        <v>78</v>
      </c>
      <c r="O763" t="s">
        <v>74</v>
      </c>
      <c r="P763" t="s">
        <v>74</v>
      </c>
      <c r="Q763" t="s">
        <v>74</v>
      </c>
      <c r="R763" t="s">
        <v>74</v>
      </c>
      <c r="S763" t="s">
        <v>74</v>
      </c>
      <c r="T763" t="s">
        <v>9244</v>
      </c>
      <c r="U763" t="s">
        <v>9245</v>
      </c>
      <c r="V763" t="s">
        <v>9246</v>
      </c>
      <c r="W763" t="s">
        <v>9247</v>
      </c>
      <c r="X763" t="s">
        <v>7332</v>
      </c>
      <c r="Y763" t="s">
        <v>9248</v>
      </c>
      <c r="Z763" t="s">
        <v>74</v>
      </c>
      <c r="AA763" t="s">
        <v>1426</v>
      </c>
      <c r="AB763" t="s">
        <v>1427</v>
      </c>
      <c r="AC763" t="s">
        <v>74</v>
      </c>
      <c r="AD763" t="s">
        <v>74</v>
      </c>
      <c r="AE763" t="s">
        <v>74</v>
      </c>
      <c r="AF763" t="s">
        <v>74</v>
      </c>
      <c r="AG763">
        <v>37</v>
      </c>
      <c r="AH763">
        <v>20</v>
      </c>
      <c r="AI763">
        <v>20</v>
      </c>
      <c r="AJ763">
        <v>0</v>
      </c>
      <c r="AK763">
        <v>16</v>
      </c>
      <c r="AL763" t="s">
        <v>4047</v>
      </c>
      <c r="AM763" t="s">
        <v>244</v>
      </c>
      <c r="AN763" t="s">
        <v>4048</v>
      </c>
      <c r="AO763" t="s">
        <v>9249</v>
      </c>
      <c r="AP763" t="s">
        <v>74</v>
      </c>
      <c r="AQ763" t="s">
        <v>74</v>
      </c>
      <c r="AR763" t="s">
        <v>1429</v>
      </c>
      <c r="AS763" t="s">
        <v>1430</v>
      </c>
      <c r="AT763" t="s">
        <v>9123</v>
      </c>
      <c r="AU763">
        <v>1997</v>
      </c>
      <c r="AV763">
        <v>118</v>
      </c>
      <c r="AW763">
        <v>2</v>
      </c>
      <c r="AX763" t="s">
        <v>74</v>
      </c>
      <c r="AY763" t="s">
        <v>74</v>
      </c>
      <c r="AZ763" t="s">
        <v>74</v>
      </c>
      <c r="BA763" t="s">
        <v>74</v>
      </c>
      <c r="BB763">
        <v>319</v>
      </c>
      <c r="BC763">
        <v>326</v>
      </c>
      <c r="BD763" t="s">
        <v>74</v>
      </c>
      <c r="BE763" t="s">
        <v>9250</v>
      </c>
      <c r="BF763" t="str">
        <f>HYPERLINK("http://dx.doi.org/10.1016/S0305-0491(97)00160-0","http://dx.doi.org/10.1016/S0305-0491(97)00160-0")</f>
        <v>http://dx.doi.org/10.1016/S0305-0491(97)00160-0</v>
      </c>
      <c r="BG763" t="s">
        <v>74</v>
      </c>
      <c r="BH763" t="s">
        <v>74</v>
      </c>
      <c r="BI763">
        <v>8</v>
      </c>
      <c r="BJ763" t="s">
        <v>1431</v>
      </c>
      <c r="BK763" t="s">
        <v>98</v>
      </c>
      <c r="BL763" t="s">
        <v>1431</v>
      </c>
      <c r="BM763" t="s">
        <v>9251</v>
      </c>
      <c r="BN763" t="s">
        <v>74</v>
      </c>
      <c r="BO763" t="s">
        <v>74</v>
      </c>
      <c r="BP763" t="s">
        <v>74</v>
      </c>
      <c r="BQ763" t="s">
        <v>74</v>
      </c>
      <c r="BR763" t="s">
        <v>101</v>
      </c>
      <c r="BS763" t="s">
        <v>9252</v>
      </c>
      <c r="BT763" t="str">
        <f>HYPERLINK("https%3A%2F%2Fwww.webofscience.com%2Fwos%2Fwoscc%2Ffull-record%2FWOS:A1997YJ80000011","View Full Record in Web of Science")</f>
        <v>View Full Record in Web of Science</v>
      </c>
    </row>
    <row r="764" spans="1:72" x14ac:dyDescent="0.15">
      <c r="A764" t="s">
        <v>72</v>
      </c>
      <c r="B764" t="s">
        <v>9253</v>
      </c>
      <c r="C764" t="s">
        <v>74</v>
      </c>
      <c r="D764" t="s">
        <v>74</v>
      </c>
      <c r="E764" t="s">
        <v>74</v>
      </c>
      <c r="F764" t="s">
        <v>9253</v>
      </c>
      <c r="G764" t="s">
        <v>74</v>
      </c>
      <c r="H764" t="s">
        <v>74</v>
      </c>
      <c r="I764" t="s">
        <v>9254</v>
      </c>
      <c r="J764" t="s">
        <v>9255</v>
      </c>
      <c r="K764" t="s">
        <v>74</v>
      </c>
      <c r="L764" t="s">
        <v>74</v>
      </c>
      <c r="M764" t="s">
        <v>77</v>
      </c>
      <c r="N764" t="s">
        <v>379</v>
      </c>
      <c r="O764" t="s">
        <v>9256</v>
      </c>
      <c r="P764" t="s">
        <v>2641</v>
      </c>
      <c r="Q764" t="s">
        <v>9257</v>
      </c>
      <c r="R764" t="s">
        <v>74</v>
      </c>
      <c r="S764" t="s">
        <v>74</v>
      </c>
      <c r="T764" t="s">
        <v>9258</v>
      </c>
      <c r="U764" t="s">
        <v>74</v>
      </c>
      <c r="V764" t="s">
        <v>9259</v>
      </c>
      <c r="W764" t="s">
        <v>9260</v>
      </c>
      <c r="X764" t="s">
        <v>9261</v>
      </c>
      <c r="Y764" t="s">
        <v>74</v>
      </c>
      <c r="Z764" t="s">
        <v>9262</v>
      </c>
      <c r="AA764" t="s">
        <v>9263</v>
      </c>
      <c r="AB764" t="s">
        <v>9264</v>
      </c>
      <c r="AC764" t="s">
        <v>74</v>
      </c>
      <c r="AD764" t="s">
        <v>74</v>
      </c>
      <c r="AE764" t="s">
        <v>74</v>
      </c>
      <c r="AF764" t="s">
        <v>74</v>
      </c>
      <c r="AG764">
        <v>9</v>
      </c>
      <c r="AH764">
        <v>2</v>
      </c>
      <c r="AI764">
        <v>2</v>
      </c>
      <c r="AJ764">
        <v>1</v>
      </c>
      <c r="AK764">
        <v>5</v>
      </c>
      <c r="AL764" t="s">
        <v>9265</v>
      </c>
      <c r="AM764" t="s">
        <v>9266</v>
      </c>
      <c r="AN764" t="s">
        <v>9267</v>
      </c>
      <c r="AO764" t="s">
        <v>9268</v>
      </c>
      <c r="AP764" t="s">
        <v>9269</v>
      </c>
      <c r="AQ764" t="s">
        <v>74</v>
      </c>
      <c r="AR764" t="s">
        <v>9270</v>
      </c>
      <c r="AS764" t="s">
        <v>9271</v>
      </c>
      <c r="AT764" t="s">
        <v>9272</v>
      </c>
      <c r="AU764">
        <v>1997</v>
      </c>
      <c r="AV764">
        <v>35</v>
      </c>
      <c r="AW764">
        <v>4</v>
      </c>
      <c r="AX764" t="s">
        <v>74</v>
      </c>
      <c r="AY764" t="s">
        <v>74</v>
      </c>
      <c r="AZ764" t="s">
        <v>74</v>
      </c>
      <c r="BA764" t="s">
        <v>74</v>
      </c>
      <c r="BB764">
        <v>249</v>
      </c>
      <c r="BC764">
        <v>253</v>
      </c>
      <c r="BD764" t="s">
        <v>74</v>
      </c>
      <c r="BE764" t="s">
        <v>74</v>
      </c>
      <c r="BF764" t="s">
        <v>74</v>
      </c>
      <c r="BG764" t="s">
        <v>74</v>
      </c>
      <c r="BH764" t="s">
        <v>74</v>
      </c>
      <c r="BI764">
        <v>5</v>
      </c>
      <c r="BJ764" t="s">
        <v>9273</v>
      </c>
      <c r="BK764" t="s">
        <v>3943</v>
      </c>
      <c r="BL764" t="s">
        <v>9273</v>
      </c>
      <c r="BM764" t="s">
        <v>9274</v>
      </c>
      <c r="BN764" t="s">
        <v>74</v>
      </c>
      <c r="BO764" t="s">
        <v>74</v>
      </c>
      <c r="BP764" t="s">
        <v>74</v>
      </c>
      <c r="BQ764" t="s">
        <v>74</v>
      </c>
      <c r="BR764" t="s">
        <v>101</v>
      </c>
      <c r="BS764" t="s">
        <v>9275</v>
      </c>
      <c r="BT764" t="str">
        <f>HYPERLINK("https%3A%2F%2Fwww.webofscience.com%2Fwos%2Fwoscc%2Ffull-record%2FWOS:000072544100005","View Full Record in Web of Science")</f>
        <v>View Full Record in Web of Science</v>
      </c>
    </row>
    <row r="765" spans="1:72" x14ac:dyDescent="0.15">
      <c r="A765" t="s">
        <v>72</v>
      </c>
      <c r="B765" t="s">
        <v>9276</v>
      </c>
      <c r="C765" t="s">
        <v>74</v>
      </c>
      <c r="D765" t="s">
        <v>74</v>
      </c>
      <c r="E765" t="s">
        <v>74</v>
      </c>
      <c r="F765" t="s">
        <v>9276</v>
      </c>
      <c r="G765" t="s">
        <v>74</v>
      </c>
      <c r="H765" t="s">
        <v>74</v>
      </c>
      <c r="I765" t="s">
        <v>9277</v>
      </c>
      <c r="J765" t="s">
        <v>1550</v>
      </c>
      <c r="K765" t="s">
        <v>74</v>
      </c>
      <c r="L765" t="s">
        <v>74</v>
      </c>
      <c r="M765" t="s">
        <v>77</v>
      </c>
      <c r="N765" t="s">
        <v>78</v>
      </c>
      <c r="O765" t="s">
        <v>74</v>
      </c>
      <c r="P765" t="s">
        <v>74</v>
      </c>
      <c r="Q765" t="s">
        <v>74</v>
      </c>
      <c r="R765" t="s">
        <v>74</v>
      </c>
      <c r="S765" t="s">
        <v>74</v>
      </c>
      <c r="T765" t="s">
        <v>74</v>
      </c>
      <c r="U765" t="s">
        <v>9278</v>
      </c>
      <c r="V765" t="s">
        <v>9279</v>
      </c>
      <c r="W765" t="s">
        <v>9280</v>
      </c>
      <c r="X765" t="s">
        <v>9281</v>
      </c>
      <c r="Y765" t="s">
        <v>74</v>
      </c>
      <c r="Z765" t="s">
        <v>74</v>
      </c>
      <c r="AA765" t="s">
        <v>74</v>
      </c>
      <c r="AB765" t="s">
        <v>74</v>
      </c>
      <c r="AC765" t="s">
        <v>74</v>
      </c>
      <c r="AD765" t="s">
        <v>74</v>
      </c>
      <c r="AE765" t="s">
        <v>74</v>
      </c>
      <c r="AF765" t="s">
        <v>74</v>
      </c>
      <c r="AG765">
        <v>24</v>
      </c>
      <c r="AH765">
        <v>72</v>
      </c>
      <c r="AI765">
        <v>79</v>
      </c>
      <c r="AJ765">
        <v>1</v>
      </c>
      <c r="AK765">
        <v>31</v>
      </c>
      <c r="AL765" t="s">
        <v>897</v>
      </c>
      <c r="AM765" t="s">
        <v>244</v>
      </c>
      <c r="AN765" t="s">
        <v>7783</v>
      </c>
      <c r="AO765" t="s">
        <v>1560</v>
      </c>
      <c r="AP765" t="s">
        <v>74</v>
      </c>
      <c r="AQ765" t="s">
        <v>74</v>
      </c>
      <c r="AR765" t="s">
        <v>1561</v>
      </c>
      <c r="AS765" t="s">
        <v>1562</v>
      </c>
      <c r="AT765" t="s">
        <v>9123</v>
      </c>
      <c r="AU765">
        <v>1997</v>
      </c>
      <c r="AV765">
        <v>359</v>
      </c>
      <c r="AW765">
        <v>3</v>
      </c>
      <c r="AX765" t="s">
        <v>74</v>
      </c>
      <c r="AY765" t="s">
        <v>74</v>
      </c>
      <c r="AZ765" t="s">
        <v>74</v>
      </c>
      <c r="BA765" t="s">
        <v>74</v>
      </c>
      <c r="BB765">
        <v>298</v>
      </c>
      <c r="BC765">
        <v>305</v>
      </c>
      <c r="BD765" t="s">
        <v>74</v>
      </c>
      <c r="BE765" t="s">
        <v>9282</v>
      </c>
      <c r="BF765" t="str">
        <f>HYPERLINK("http://dx.doi.org/10.1007/s002160050577","http://dx.doi.org/10.1007/s002160050577")</f>
        <v>http://dx.doi.org/10.1007/s002160050577</v>
      </c>
      <c r="BG765" t="s">
        <v>74</v>
      </c>
      <c r="BH765" t="s">
        <v>74</v>
      </c>
      <c r="BI765">
        <v>8</v>
      </c>
      <c r="BJ765" t="s">
        <v>1564</v>
      </c>
      <c r="BK765" t="s">
        <v>98</v>
      </c>
      <c r="BL765" t="s">
        <v>398</v>
      </c>
      <c r="BM765" t="s">
        <v>9283</v>
      </c>
      <c r="BN765" t="s">
        <v>74</v>
      </c>
      <c r="BO765" t="s">
        <v>74</v>
      </c>
      <c r="BP765" t="s">
        <v>74</v>
      </c>
      <c r="BQ765" t="s">
        <v>74</v>
      </c>
      <c r="BR765" t="s">
        <v>101</v>
      </c>
      <c r="BS765" t="s">
        <v>9284</v>
      </c>
      <c r="BT765" t="str">
        <f>HYPERLINK("https%3A%2F%2Fwww.webofscience.com%2Fwos%2Fwoscc%2Ffull-record%2FWOS:A1997XY43600017","View Full Record in Web of Science")</f>
        <v>View Full Record in Web of Science</v>
      </c>
    </row>
    <row r="766" spans="1:72" x14ac:dyDescent="0.15">
      <c r="A766" t="s">
        <v>72</v>
      </c>
      <c r="B766" t="s">
        <v>9285</v>
      </c>
      <c r="C766" t="s">
        <v>74</v>
      </c>
      <c r="D766" t="s">
        <v>74</v>
      </c>
      <c r="E766" t="s">
        <v>74</v>
      </c>
      <c r="F766" t="s">
        <v>9285</v>
      </c>
      <c r="G766" t="s">
        <v>74</v>
      </c>
      <c r="H766" t="s">
        <v>74</v>
      </c>
      <c r="I766" t="s">
        <v>9286</v>
      </c>
      <c r="J766" t="s">
        <v>444</v>
      </c>
      <c r="K766" t="s">
        <v>74</v>
      </c>
      <c r="L766" t="s">
        <v>74</v>
      </c>
      <c r="M766" t="s">
        <v>77</v>
      </c>
      <c r="N766" t="s">
        <v>78</v>
      </c>
      <c r="O766" t="s">
        <v>74</v>
      </c>
      <c r="P766" t="s">
        <v>74</v>
      </c>
      <c r="Q766" t="s">
        <v>74</v>
      </c>
      <c r="R766" t="s">
        <v>74</v>
      </c>
      <c r="S766" t="s">
        <v>74</v>
      </c>
      <c r="T766" t="s">
        <v>74</v>
      </c>
      <c r="U766" t="s">
        <v>9287</v>
      </c>
      <c r="V766" t="s">
        <v>9288</v>
      </c>
      <c r="W766" t="s">
        <v>74</v>
      </c>
      <c r="X766" t="s">
        <v>74</v>
      </c>
      <c r="Y766" t="s">
        <v>9289</v>
      </c>
      <c r="Z766" t="s">
        <v>74</v>
      </c>
      <c r="AA766" t="s">
        <v>74</v>
      </c>
      <c r="AB766" t="s">
        <v>9290</v>
      </c>
      <c r="AC766" t="s">
        <v>74</v>
      </c>
      <c r="AD766" t="s">
        <v>74</v>
      </c>
      <c r="AE766" t="s">
        <v>74</v>
      </c>
      <c r="AF766" t="s">
        <v>74</v>
      </c>
      <c r="AG766">
        <v>62</v>
      </c>
      <c r="AH766">
        <v>26</v>
      </c>
      <c r="AI766">
        <v>33</v>
      </c>
      <c r="AJ766">
        <v>0</v>
      </c>
      <c r="AK766">
        <v>16</v>
      </c>
      <c r="AL766" t="s">
        <v>451</v>
      </c>
      <c r="AM766" t="s">
        <v>214</v>
      </c>
      <c r="AN766" t="s">
        <v>7151</v>
      </c>
      <c r="AO766" t="s">
        <v>453</v>
      </c>
      <c r="AP766" t="s">
        <v>74</v>
      </c>
      <c r="AQ766" t="s">
        <v>74</v>
      </c>
      <c r="AR766" t="s">
        <v>454</v>
      </c>
      <c r="AS766" t="s">
        <v>455</v>
      </c>
      <c r="AT766" t="s">
        <v>9123</v>
      </c>
      <c r="AU766">
        <v>1997</v>
      </c>
      <c r="AV766">
        <v>61</v>
      </c>
      <c r="AW766">
        <v>20</v>
      </c>
      <c r="AX766" t="s">
        <v>74</v>
      </c>
      <c r="AY766" t="s">
        <v>74</v>
      </c>
      <c r="AZ766" t="s">
        <v>74</v>
      </c>
      <c r="BA766" t="s">
        <v>74</v>
      </c>
      <c r="BB766">
        <v>4309</v>
      </c>
      <c r="BC766">
        <v>4319</v>
      </c>
      <c r="BD766" t="s">
        <v>74</v>
      </c>
      <c r="BE766" t="s">
        <v>74</v>
      </c>
      <c r="BF766" t="s">
        <v>74</v>
      </c>
      <c r="BG766" t="s">
        <v>74</v>
      </c>
      <c r="BH766" t="s">
        <v>74</v>
      </c>
      <c r="BI766">
        <v>11</v>
      </c>
      <c r="BJ766" t="s">
        <v>143</v>
      </c>
      <c r="BK766" t="s">
        <v>98</v>
      </c>
      <c r="BL766" t="s">
        <v>143</v>
      </c>
      <c r="BM766" t="s">
        <v>9291</v>
      </c>
      <c r="BN766" t="s">
        <v>74</v>
      </c>
      <c r="BO766" t="s">
        <v>74</v>
      </c>
      <c r="BP766" t="s">
        <v>74</v>
      </c>
      <c r="BQ766" t="s">
        <v>74</v>
      </c>
      <c r="BR766" t="s">
        <v>101</v>
      </c>
      <c r="BS766" t="s">
        <v>9292</v>
      </c>
      <c r="BT766" t="str">
        <f>HYPERLINK("https%3A%2F%2Fwww.webofscience.com%2Fwos%2Fwoscc%2Ffull-record%2FWOS:A1997YH27900005","View Full Record in Web of Science")</f>
        <v>View Full Record in Web of Science</v>
      </c>
    </row>
    <row r="767" spans="1:72" x14ac:dyDescent="0.15">
      <c r="A767" t="s">
        <v>72</v>
      </c>
      <c r="B767" t="s">
        <v>9293</v>
      </c>
      <c r="C767" t="s">
        <v>74</v>
      </c>
      <c r="D767" t="s">
        <v>74</v>
      </c>
      <c r="E767" t="s">
        <v>74</v>
      </c>
      <c r="F767" t="s">
        <v>9293</v>
      </c>
      <c r="G767" t="s">
        <v>74</v>
      </c>
      <c r="H767" t="s">
        <v>74</v>
      </c>
      <c r="I767" t="s">
        <v>9294</v>
      </c>
      <c r="J767" t="s">
        <v>461</v>
      </c>
      <c r="K767" t="s">
        <v>74</v>
      </c>
      <c r="L767" t="s">
        <v>74</v>
      </c>
      <c r="M767" t="s">
        <v>77</v>
      </c>
      <c r="N767" t="s">
        <v>78</v>
      </c>
      <c r="O767" t="s">
        <v>74</v>
      </c>
      <c r="P767" t="s">
        <v>74</v>
      </c>
      <c r="Q767" t="s">
        <v>74</v>
      </c>
      <c r="R767" t="s">
        <v>74</v>
      </c>
      <c r="S767" t="s">
        <v>74</v>
      </c>
      <c r="T767" t="s">
        <v>74</v>
      </c>
      <c r="U767" t="s">
        <v>9295</v>
      </c>
      <c r="V767" t="s">
        <v>9296</v>
      </c>
      <c r="W767" t="s">
        <v>9297</v>
      </c>
      <c r="X767" t="s">
        <v>9298</v>
      </c>
      <c r="Y767" t="s">
        <v>9299</v>
      </c>
      <c r="Z767" t="s">
        <v>74</v>
      </c>
      <c r="AA767" t="s">
        <v>9300</v>
      </c>
      <c r="AB767" t="s">
        <v>9301</v>
      </c>
      <c r="AC767" t="s">
        <v>74</v>
      </c>
      <c r="AD767" t="s">
        <v>74</v>
      </c>
      <c r="AE767" t="s">
        <v>74</v>
      </c>
      <c r="AF767" t="s">
        <v>74</v>
      </c>
      <c r="AG767">
        <v>49</v>
      </c>
      <c r="AH767">
        <v>54</v>
      </c>
      <c r="AI767">
        <v>57</v>
      </c>
      <c r="AJ767">
        <v>0</v>
      </c>
      <c r="AK767">
        <v>3</v>
      </c>
      <c r="AL767" t="s">
        <v>9302</v>
      </c>
      <c r="AM767" t="s">
        <v>486</v>
      </c>
      <c r="AN767" t="s">
        <v>9303</v>
      </c>
      <c r="AO767" t="s">
        <v>470</v>
      </c>
      <c r="AP767" t="s">
        <v>74</v>
      </c>
      <c r="AQ767" t="s">
        <v>74</v>
      </c>
      <c r="AR767" t="s">
        <v>461</v>
      </c>
      <c r="AS767" t="s">
        <v>471</v>
      </c>
      <c r="AT767" t="s">
        <v>9123</v>
      </c>
      <c r="AU767">
        <v>1997</v>
      </c>
      <c r="AV767">
        <v>25</v>
      </c>
      <c r="AW767">
        <v>10</v>
      </c>
      <c r="AX767" t="s">
        <v>74</v>
      </c>
      <c r="AY767" t="s">
        <v>74</v>
      </c>
      <c r="AZ767" t="s">
        <v>74</v>
      </c>
      <c r="BA767" t="s">
        <v>74</v>
      </c>
      <c r="BB767">
        <v>903</v>
      </c>
      <c r="BC767">
        <v>906</v>
      </c>
      <c r="BD767" t="s">
        <v>74</v>
      </c>
      <c r="BE767" t="s">
        <v>9304</v>
      </c>
      <c r="BF767" t="str">
        <f>HYPERLINK("http://dx.doi.org/10.1130/0091-7613(1997)025&lt;0903:RCSITL&gt;2.3.CO;2","http://dx.doi.org/10.1130/0091-7613(1997)025&lt;0903:RCSITL&gt;2.3.CO;2")</f>
        <v>http://dx.doi.org/10.1130/0091-7613(1997)025&lt;0903:RCSITL&gt;2.3.CO;2</v>
      </c>
      <c r="BG767" t="s">
        <v>74</v>
      </c>
      <c r="BH767" t="s">
        <v>74</v>
      </c>
      <c r="BI767">
        <v>4</v>
      </c>
      <c r="BJ767" t="s">
        <v>471</v>
      </c>
      <c r="BK767" t="s">
        <v>98</v>
      </c>
      <c r="BL767" t="s">
        <v>471</v>
      </c>
      <c r="BM767" t="s">
        <v>9305</v>
      </c>
      <c r="BN767" t="s">
        <v>74</v>
      </c>
      <c r="BO767" t="s">
        <v>74</v>
      </c>
      <c r="BP767" t="s">
        <v>74</v>
      </c>
      <c r="BQ767" t="s">
        <v>74</v>
      </c>
      <c r="BR767" t="s">
        <v>101</v>
      </c>
      <c r="BS767" t="s">
        <v>9306</v>
      </c>
      <c r="BT767" t="str">
        <f>HYPERLINK("https%3A%2F%2Fwww.webofscience.com%2Fwos%2Fwoscc%2Ffull-record%2FWOS:A1997YB06200010","View Full Record in Web of Science")</f>
        <v>View Full Record in Web of Science</v>
      </c>
    </row>
    <row r="768" spans="1:72" x14ac:dyDescent="0.15">
      <c r="A768" t="s">
        <v>72</v>
      </c>
      <c r="B768" t="s">
        <v>9307</v>
      </c>
      <c r="C768" t="s">
        <v>74</v>
      </c>
      <c r="D768" t="s">
        <v>74</v>
      </c>
      <c r="E768" t="s">
        <v>74</v>
      </c>
      <c r="F768" t="s">
        <v>9307</v>
      </c>
      <c r="G768" t="s">
        <v>74</v>
      </c>
      <c r="H768" t="s">
        <v>74</v>
      </c>
      <c r="I768" t="s">
        <v>9308</v>
      </c>
      <c r="J768" t="s">
        <v>4481</v>
      </c>
      <c r="K768" t="s">
        <v>74</v>
      </c>
      <c r="L768" t="s">
        <v>74</v>
      </c>
      <c r="M768" t="s">
        <v>77</v>
      </c>
      <c r="N768" t="s">
        <v>78</v>
      </c>
      <c r="O768" t="s">
        <v>74</v>
      </c>
      <c r="P768" t="s">
        <v>74</v>
      </c>
      <c r="Q768" t="s">
        <v>74</v>
      </c>
      <c r="R768" t="s">
        <v>74</v>
      </c>
      <c r="S768" t="s">
        <v>74</v>
      </c>
      <c r="T768" t="s">
        <v>9309</v>
      </c>
      <c r="U768" t="s">
        <v>9310</v>
      </c>
      <c r="V768" t="s">
        <v>9311</v>
      </c>
      <c r="W768" t="s">
        <v>9312</v>
      </c>
      <c r="X768" t="s">
        <v>9313</v>
      </c>
      <c r="Y768" t="s">
        <v>9314</v>
      </c>
      <c r="Z768" t="s">
        <v>74</v>
      </c>
      <c r="AA768" t="s">
        <v>74</v>
      </c>
      <c r="AB768" t="s">
        <v>74</v>
      </c>
      <c r="AC768" t="s">
        <v>74</v>
      </c>
      <c r="AD768" t="s">
        <v>74</v>
      </c>
      <c r="AE768" t="s">
        <v>74</v>
      </c>
      <c r="AF768" t="s">
        <v>74</v>
      </c>
      <c r="AG768">
        <v>17</v>
      </c>
      <c r="AH768">
        <v>2</v>
      </c>
      <c r="AI768">
        <v>2</v>
      </c>
      <c r="AJ768">
        <v>0</v>
      </c>
      <c r="AK768">
        <v>2</v>
      </c>
      <c r="AL768" t="s">
        <v>4488</v>
      </c>
      <c r="AM768" t="s">
        <v>4489</v>
      </c>
      <c r="AN768" t="s">
        <v>4490</v>
      </c>
      <c r="AO768" t="s">
        <v>4491</v>
      </c>
      <c r="AP768" t="s">
        <v>74</v>
      </c>
      <c r="AQ768" t="s">
        <v>74</v>
      </c>
      <c r="AR768" t="s">
        <v>4492</v>
      </c>
      <c r="AS768" t="s">
        <v>4493</v>
      </c>
      <c r="AT768" t="s">
        <v>9123</v>
      </c>
      <c r="AU768">
        <v>1997</v>
      </c>
      <c r="AV768">
        <v>1</v>
      </c>
      <c r="AW768">
        <v>1</v>
      </c>
      <c r="AX768" t="s">
        <v>74</v>
      </c>
      <c r="AY768" t="s">
        <v>74</v>
      </c>
      <c r="AZ768" t="s">
        <v>74</v>
      </c>
      <c r="BA768" t="s">
        <v>74</v>
      </c>
      <c r="BB768">
        <v>129</v>
      </c>
      <c r="BC768">
        <v>136</v>
      </c>
      <c r="BD768" t="s">
        <v>74</v>
      </c>
      <c r="BE768" t="s">
        <v>9315</v>
      </c>
      <c r="BF768" t="str">
        <f>HYPERLINK("http://dx.doi.org/10.1016/S1342-937X(05)70011-3","http://dx.doi.org/10.1016/S1342-937X(05)70011-3")</f>
        <v>http://dx.doi.org/10.1016/S1342-937X(05)70011-3</v>
      </c>
      <c r="BG768" t="s">
        <v>74</v>
      </c>
      <c r="BH768" t="s">
        <v>74</v>
      </c>
      <c r="BI768">
        <v>8</v>
      </c>
      <c r="BJ768" t="s">
        <v>769</v>
      </c>
      <c r="BK768" t="s">
        <v>98</v>
      </c>
      <c r="BL768" t="s">
        <v>471</v>
      </c>
      <c r="BM768" t="s">
        <v>9316</v>
      </c>
      <c r="BN768" t="s">
        <v>74</v>
      </c>
      <c r="BO768" t="s">
        <v>74</v>
      </c>
      <c r="BP768" t="s">
        <v>74</v>
      </c>
      <c r="BQ768" t="s">
        <v>74</v>
      </c>
      <c r="BR768" t="s">
        <v>101</v>
      </c>
      <c r="BS768" t="s">
        <v>9317</v>
      </c>
      <c r="BT768" t="str">
        <f>HYPERLINK("https%3A%2F%2Fwww.webofscience.com%2Fwos%2Fwoscc%2Ffull-record%2FWOS:000080990200011","View Full Record in Web of Science")</f>
        <v>View Full Record in Web of Science</v>
      </c>
    </row>
    <row r="769" spans="1:72" x14ac:dyDescent="0.15">
      <c r="A769" t="s">
        <v>72</v>
      </c>
      <c r="B769" t="s">
        <v>9318</v>
      </c>
      <c r="C769" t="s">
        <v>74</v>
      </c>
      <c r="D769" t="s">
        <v>74</v>
      </c>
      <c r="E769" t="s">
        <v>74</v>
      </c>
      <c r="F769" t="s">
        <v>9318</v>
      </c>
      <c r="G769" t="s">
        <v>74</v>
      </c>
      <c r="H769" t="s">
        <v>74</v>
      </c>
      <c r="I769" t="s">
        <v>9319</v>
      </c>
      <c r="J769" t="s">
        <v>9320</v>
      </c>
      <c r="K769" t="s">
        <v>74</v>
      </c>
      <c r="L769" t="s">
        <v>74</v>
      </c>
      <c r="M769" t="s">
        <v>77</v>
      </c>
      <c r="N769" t="s">
        <v>379</v>
      </c>
      <c r="O769" t="s">
        <v>9321</v>
      </c>
      <c r="P769" t="s">
        <v>9322</v>
      </c>
      <c r="Q769" t="s">
        <v>9323</v>
      </c>
      <c r="R769" t="s">
        <v>74</v>
      </c>
      <c r="S769" t="s">
        <v>74</v>
      </c>
      <c r="T769" t="s">
        <v>74</v>
      </c>
      <c r="U769" t="s">
        <v>9324</v>
      </c>
      <c r="V769" t="s">
        <v>9325</v>
      </c>
      <c r="W769" t="s">
        <v>74</v>
      </c>
      <c r="X769" t="s">
        <v>74</v>
      </c>
      <c r="Y769" t="s">
        <v>9326</v>
      </c>
      <c r="Z769" t="s">
        <v>74</v>
      </c>
      <c r="AA769" t="s">
        <v>74</v>
      </c>
      <c r="AB769" t="s">
        <v>74</v>
      </c>
      <c r="AC769" t="s">
        <v>74</v>
      </c>
      <c r="AD769" t="s">
        <v>74</v>
      </c>
      <c r="AE769" t="s">
        <v>74</v>
      </c>
      <c r="AF769" t="s">
        <v>74</v>
      </c>
      <c r="AG769">
        <v>104</v>
      </c>
      <c r="AH769">
        <v>72</v>
      </c>
      <c r="AI769">
        <v>82</v>
      </c>
      <c r="AJ769">
        <v>1</v>
      </c>
      <c r="AK769">
        <v>28</v>
      </c>
      <c r="AL769" t="s">
        <v>2664</v>
      </c>
      <c r="AM769" t="s">
        <v>2665</v>
      </c>
      <c r="AN769" t="s">
        <v>4448</v>
      </c>
      <c r="AO769" t="s">
        <v>9327</v>
      </c>
      <c r="AP769" t="s">
        <v>74</v>
      </c>
      <c r="AQ769" t="s">
        <v>74</v>
      </c>
      <c r="AR769" t="s">
        <v>9328</v>
      </c>
      <c r="AS769" t="s">
        <v>9329</v>
      </c>
      <c r="AT769" t="s">
        <v>9123</v>
      </c>
      <c r="AU769">
        <v>1997</v>
      </c>
      <c r="AV769">
        <v>42</v>
      </c>
      <c r="AW769">
        <v>5</v>
      </c>
      <c r="AX769" t="s">
        <v>74</v>
      </c>
      <c r="AY769" t="s">
        <v>74</v>
      </c>
      <c r="AZ769" t="s">
        <v>74</v>
      </c>
      <c r="BA769" t="s">
        <v>74</v>
      </c>
      <c r="BB769">
        <v>725</v>
      </c>
      <c r="BC769">
        <v>745</v>
      </c>
      <c r="BD769" t="s">
        <v>74</v>
      </c>
      <c r="BE769" t="s">
        <v>9330</v>
      </c>
      <c r="BF769" t="str">
        <f>HYPERLINK("http://dx.doi.org/10.1080/02626669709492069","http://dx.doi.org/10.1080/02626669709492069")</f>
        <v>http://dx.doi.org/10.1080/02626669709492069</v>
      </c>
      <c r="BG769" t="s">
        <v>74</v>
      </c>
      <c r="BH769" t="s">
        <v>74</v>
      </c>
      <c r="BI769">
        <v>21</v>
      </c>
      <c r="BJ769" t="s">
        <v>9331</v>
      </c>
      <c r="BK769" t="s">
        <v>3943</v>
      </c>
      <c r="BL769" t="s">
        <v>9331</v>
      </c>
      <c r="BM769" t="s">
        <v>9332</v>
      </c>
      <c r="BN769" t="s">
        <v>74</v>
      </c>
      <c r="BO769" t="s">
        <v>100</v>
      </c>
      <c r="BP769" t="s">
        <v>74</v>
      </c>
      <c r="BQ769" t="s">
        <v>74</v>
      </c>
      <c r="BR769" t="s">
        <v>101</v>
      </c>
      <c r="BS769" t="s">
        <v>9333</v>
      </c>
      <c r="BT769" t="str">
        <f>HYPERLINK("https%3A%2F%2Fwww.webofscience.com%2Fwos%2Fwoscc%2Ffull-record%2FWOS:A1997YB17800008","View Full Record in Web of Science")</f>
        <v>View Full Record in Web of Science</v>
      </c>
    </row>
    <row r="770" spans="1:72" x14ac:dyDescent="0.15">
      <c r="A770" t="s">
        <v>72</v>
      </c>
      <c r="B770" t="s">
        <v>9334</v>
      </c>
      <c r="C770" t="s">
        <v>74</v>
      </c>
      <c r="D770" t="s">
        <v>74</v>
      </c>
      <c r="E770" t="s">
        <v>74</v>
      </c>
      <c r="F770" t="s">
        <v>9334</v>
      </c>
      <c r="G770" t="s">
        <v>74</v>
      </c>
      <c r="H770" t="s">
        <v>74</v>
      </c>
      <c r="I770" t="s">
        <v>9335</v>
      </c>
      <c r="J770" t="s">
        <v>4938</v>
      </c>
      <c r="K770" t="s">
        <v>74</v>
      </c>
      <c r="L770" t="s">
        <v>74</v>
      </c>
      <c r="M770" t="s">
        <v>77</v>
      </c>
      <c r="N770" t="s">
        <v>78</v>
      </c>
      <c r="O770" t="s">
        <v>74</v>
      </c>
      <c r="P770" t="s">
        <v>74</v>
      </c>
      <c r="Q770" t="s">
        <v>74</v>
      </c>
      <c r="R770" t="s">
        <v>74</v>
      </c>
      <c r="S770" t="s">
        <v>74</v>
      </c>
      <c r="T770" t="s">
        <v>74</v>
      </c>
      <c r="U770" t="s">
        <v>9336</v>
      </c>
      <c r="V770" t="s">
        <v>9337</v>
      </c>
      <c r="W770" t="s">
        <v>9338</v>
      </c>
      <c r="X770" t="s">
        <v>9339</v>
      </c>
      <c r="Y770" t="s">
        <v>9340</v>
      </c>
      <c r="Z770" t="s">
        <v>74</v>
      </c>
      <c r="AA770" t="s">
        <v>9341</v>
      </c>
      <c r="AB770" t="s">
        <v>9342</v>
      </c>
      <c r="AC770" t="s">
        <v>74</v>
      </c>
      <c r="AD770" t="s">
        <v>74</v>
      </c>
      <c r="AE770" t="s">
        <v>74</v>
      </c>
      <c r="AF770" t="s">
        <v>74</v>
      </c>
      <c r="AG770">
        <v>45</v>
      </c>
      <c r="AH770">
        <v>221</v>
      </c>
      <c r="AI770">
        <v>258</v>
      </c>
      <c r="AJ770">
        <v>2</v>
      </c>
      <c r="AK770">
        <v>43</v>
      </c>
      <c r="AL770" t="s">
        <v>360</v>
      </c>
      <c r="AM770" t="s">
        <v>88</v>
      </c>
      <c r="AN770" t="s">
        <v>9343</v>
      </c>
      <c r="AO770" t="s">
        <v>4950</v>
      </c>
      <c r="AP770" t="s">
        <v>74</v>
      </c>
      <c r="AQ770" t="s">
        <v>74</v>
      </c>
      <c r="AR770" t="s">
        <v>4951</v>
      </c>
      <c r="AS770" t="s">
        <v>4952</v>
      </c>
      <c r="AT770" t="s">
        <v>9123</v>
      </c>
      <c r="AU770">
        <v>1997</v>
      </c>
      <c r="AV770">
        <v>47</v>
      </c>
      <c r="AW770">
        <v>4</v>
      </c>
      <c r="AX770" t="s">
        <v>74</v>
      </c>
      <c r="AY770" t="s">
        <v>74</v>
      </c>
      <c r="AZ770" t="s">
        <v>74</v>
      </c>
      <c r="BA770" t="s">
        <v>74</v>
      </c>
      <c r="BB770">
        <v>1040</v>
      </c>
      <c r="BC770">
        <v>1047</v>
      </c>
      <c r="BD770" t="s">
        <v>74</v>
      </c>
      <c r="BE770" t="s">
        <v>9344</v>
      </c>
      <c r="BF770" t="str">
        <f>HYPERLINK("http://dx.doi.org/10.1099/00207713-47-4-1040","http://dx.doi.org/10.1099/00207713-47-4-1040")</f>
        <v>http://dx.doi.org/10.1099/00207713-47-4-1040</v>
      </c>
      <c r="BG770" t="s">
        <v>74</v>
      </c>
      <c r="BH770" t="s">
        <v>74</v>
      </c>
      <c r="BI770">
        <v>8</v>
      </c>
      <c r="BJ770" t="s">
        <v>1223</v>
      </c>
      <c r="BK770" t="s">
        <v>98</v>
      </c>
      <c r="BL770" t="s">
        <v>1223</v>
      </c>
      <c r="BM770" t="s">
        <v>9345</v>
      </c>
      <c r="BN770">
        <v>9336903</v>
      </c>
      <c r="BO770" t="s">
        <v>100</v>
      </c>
      <c r="BP770" t="s">
        <v>74</v>
      </c>
      <c r="BQ770" t="s">
        <v>74</v>
      </c>
      <c r="BR770" t="s">
        <v>101</v>
      </c>
      <c r="BS770" t="s">
        <v>9346</v>
      </c>
      <c r="BT770" t="str">
        <f>HYPERLINK("https%3A%2F%2Fwww.webofscience.com%2Fwos%2Fwoscc%2Ffull-record%2FWOS:A1997YB18300017","View Full Record in Web of Science")</f>
        <v>View Full Record in Web of Science</v>
      </c>
    </row>
    <row r="771" spans="1:72" x14ac:dyDescent="0.15">
      <c r="A771" t="s">
        <v>72</v>
      </c>
      <c r="B771" t="s">
        <v>9347</v>
      </c>
      <c r="C771" t="s">
        <v>74</v>
      </c>
      <c r="D771" t="s">
        <v>74</v>
      </c>
      <c r="E771" t="s">
        <v>74</v>
      </c>
      <c r="F771" t="s">
        <v>9347</v>
      </c>
      <c r="G771" t="s">
        <v>74</v>
      </c>
      <c r="H771" t="s">
        <v>74</v>
      </c>
      <c r="I771" t="s">
        <v>9348</v>
      </c>
      <c r="J771" t="s">
        <v>4938</v>
      </c>
      <c r="K771" t="s">
        <v>74</v>
      </c>
      <c r="L771" t="s">
        <v>74</v>
      </c>
      <c r="M771" t="s">
        <v>77</v>
      </c>
      <c r="N771" t="s">
        <v>78</v>
      </c>
      <c r="O771" t="s">
        <v>74</v>
      </c>
      <c r="P771" t="s">
        <v>74</v>
      </c>
      <c r="Q771" t="s">
        <v>74</v>
      </c>
      <c r="R771" t="s">
        <v>74</v>
      </c>
      <c r="S771" t="s">
        <v>74</v>
      </c>
      <c r="T771" t="s">
        <v>74</v>
      </c>
      <c r="U771" t="s">
        <v>9349</v>
      </c>
      <c r="V771" t="s">
        <v>9350</v>
      </c>
      <c r="W771" t="s">
        <v>9351</v>
      </c>
      <c r="X771" t="s">
        <v>9352</v>
      </c>
      <c r="Y771" t="s">
        <v>74</v>
      </c>
      <c r="Z771" t="s">
        <v>74</v>
      </c>
      <c r="AA771" t="s">
        <v>74</v>
      </c>
      <c r="AB771" t="s">
        <v>74</v>
      </c>
      <c r="AC771" t="s">
        <v>74</v>
      </c>
      <c r="AD771" t="s">
        <v>74</v>
      </c>
      <c r="AE771" t="s">
        <v>74</v>
      </c>
      <c r="AF771" t="s">
        <v>74</v>
      </c>
      <c r="AG771">
        <v>38</v>
      </c>
      <c r="AH771">
        <v>148</v>
      </c>
      <c r="AI771">
        <v>188</v>
      </c>
      <c r="AJ771">
        <v>0</v>
      </c>
      <c r="AK771">
        <v>43</v>
      </c>
      <c r="AL771" t="s">
        <v>360</v>
      </c>
      <c r="AM771" t="s">
        <v>88</v>
      </c>
      <c r="AN771" t="s">
        <v>9343</v>
      </c>
      <c r="AO771" t="s">
        <v>4950</v>
      </c>
      <c r="AP771" t="s">
        <v>74</v>
      </c>
      <c r="AQ771" t="s">
        <v>74</v>
      </c>
      <c r="AR771" t="s">
        <v>4951</v>
      </c>
      <c r="AS771" t="s">
        <v>4952</v>
      </c>
      <c r="AT771" t="s">
        <v>9123</v>
      </c>
      <c r="AU771">
        <v>1997</v>
      </c>
      <c r="AV771">
        <v>47</v>
      </c>
      <c r="AW771">
        <v>4</v>
      </c>
      <c r="AX771" t="s">
        <v>74</v>
      </c>
      <c r="AY771" t="s">
        <v>74</v>
      </c>
      <c r="AZ771" t="s">
        <v>74</v>
      </c>
      <c r="BA771" t="s">
        <v>74</v>
      </c>
      <c r="BB771">
        <v>1068</v>
      </c>
      <c r="BC771">
        <v>1072</v>
      </c>
      <c r="BD771" t="s">
        <v>74</v>
      </c>
      <c r="BE771" t="s">
        <v>9353</v>
      </c>
      <c r="BF771" t="str">
        <f>HYPERLINK("http://dx.doi.org/10.1099/00207713-47-4-1068","http://dx.doi.org/10.1099/00207713-47-4-1068")</f>
        <v>http://dx.doi.org/10.1099/00207713-47-4-1068</v>
      </c>
      <c r="BG771" t="s">
        <v>74</v>
      </c>
      <c r="BH771" t="s">
        <v>74</v>
      </c>
      <c r="BI771">
        <v>5</v>
      </c>
      <c r="BJ771" t="s">
        <v>1223</v>
      </c>
      <c r="BK771" t="s">
        <v>98</v>
      </c>
      <c r="BL771" t="s">
        <v>1223</v>
      </c>
      <c r="BM771" t="s">
        <v>9345</v>
      </c>
      <c r="BN771">
        <v>9336907</v>
      </c>
      <c r="BO771" t="s">
        <v>100</v>
      </c>
      <c r="BP771" t="s">
        <v>74</v>
      </c>
      <c r="BQ771" t="s">
        <v>74</v>
      </c>
      <c r="BR771" t="s">
        <v>101</v>
      </c>
      <c r="BS771" t="s">
        <v>9354</v>
      </c>
      <c r="BT771" t="str">
        <f>HYPERLINK("https%3A%2F%2Fwww.webofscience.com%2Fwos%2Fwoscc%2Ffull-record%2FWOS:A1997YB18300021","View Full Record in Web of Science")</f>
        <v>View Full Record in Web of Science</v>
      </c>
    </row>
    <row r="772" spans="1:72" x14ac:dyDescent="0.15">
      <c r="A772" t="s">
        <v>72</v>
      </c>
      <c r="B772" t="s">
        <v>9355</v>
      </c>
      <c r="C772" t="s">
        <v>74</v>
      </c>
      <c r="D772" t="s">
        <v>74</v>
      </c>
      <c r="E772" t="s">
        <v>74</v>
      </c>
      <c r="F772" t="s">
        <v>9355</v>
      </c>
      <c r="G772" t="s">
        <v>74</v>
      </c>
      <c r="H772" t="s">
        <v>74</v>
      </c>
      <c r="I772" t="s">
        <v>9356</v>
      </c>
      <c r="J772" t="s">
        <v>619</v>
      </c>
      <c r="K772" t="s">
        <v>74</v>
      </c>
      <c r="L772" t="s">
        <v>74</v>
      </c>
      <c r="M772" t="s">
        <v>77</v>
      </c>
      <c r="N772" t="s">
        <v>78</v>
      </c>
      <c r="O772" t="s">
        <v>74</v>
      </c>
      <c r="P772" t="s">
        <v>74</v>
      </c>
      <c r="Q772" t="s">
        <v>74</v>
      </c>
      <c r="R772" t="s">
        <v>74</v>
      </c>
      <c r="S772" t="s">
        <v>74</v>
      </c>
      <c r="T772" t="s">
        <v>74</v>
      </c>
      <c r="U772" t="s">
        <v>9357</v>
      </c>
      <c r="V772" t="s">
        <v>9358</v>
      </c>
      <c r="W772" t="s">
        <v>9359</v>
      </c>
      <c r="X772" t="s">
        <v>9360</v>
      </c>
      <c r="Y772" t="s">
        <v>9361</v>
      </c>
      <c r="Z772" t="s">
        <v>74</v>
      </c>
      <c r="AA772" t="s">
        <v>9362</v>
      </c>
      <c r="AB772" t="s">
        <v>9363</v>
      </c>
      <c r="AC772" t="s">
        <v>74</v>
      </c>
      <c r="AD772" t="s">
        <v>74</v>
      </c>
      <c r="AE772" t="s">
        <v>74</v>
      </c>
      <c r="AF772" t="s">
        <v>74</v>
      </c>
      <c r="AG772">
        <v>31</v>
      </c>
      <c r="AH772">
        <v>6</v>
      </c>
      <c r="AI772">
        <v>7</v>
      </c>
      <c r="AJ772">
        <v>0</v>
      </c>
      <c r="AK772">
        <v>1</v>
      </c>
      <c r="AL772" t="s">
        <v>627</v>
      </c>
      <c r="AM772" t="s">
        <v>628</v>
      </c>
      <c r="AN772" t="s">
        <v>8550</v>
      </c>
      <c r="AO772" t="s">
        <v>630</v>
      </c>
      <c r="AP772" t="s">
        <v>74</v>
      </c>
      <c r="AQ772" t="s">
        <v>74</v>
      </c>
      <c r="AR772" t="s">
        <v>632</v>
      </c>
      <c r="AS772" t="s">
        <v>633</v>
      </c>
      <c r="AT772" t="s">
        <v>9123</v>
      </c>
      <c r="AU772">
        <v>1997</v>
      </c>
      <c r="AV772">
        <v>10</v>
      </c>
      <c r="AW772">
        <v>10</v>
      </c>
      <c r="AX772" t="s">
        <v>74</v>
      </c>
      <c r="AY772" t="s">
        <v>74</v>
      </c>
      <c r="AZ772" t="s">
        <v>74</v>
      </c>
      <c r="BA772" t="s">
        <v>74</v>
      </c>
      <c r="BB772">
        <v>2412</v>
      </c>
      <c r="BC772">
        <v>2430</v>
      </c>
      <c r="BD772" t="s">
        <v>74</v>
      </c>
      <c r="BE772" t="s">
        <v>9364</v>
      </c>
      <c r="BF772" t="str">
        <f>HYPERLINK("http://dx.doi.org/10.1175/1520-0442(1997)010&lt;2412:MBCVCW&gt;2.0.CO;2","http://dx.doi.org/10.1175/1520-0442(1997)010&lt;2412:MBCVCW&gt;2.0.CO;2")</f>
        <v>http://dx.doi.org/10.1175/1520-0442(1997)010&lt;2412:MBCVCW&gt;2.0.CO;2</v>
      </c>
      <c r="BG772" t="s">
        <v>74</v>
      </c>
      <c r="BH772" t="s">
        <v>74</v>
      </c>
      <c r="BI772">
        <v>19</v>
      </c>
      <c r="BJ772" t="s">
        <v>635</v>
      </c>
      <c r="BK772" t="s">
        <v>98</v>
      </c>
      <c r="BL772" t="s">
        <v>635</v>
      </c>
      <c r="BM772" t="s">
        <v>9365</v>
      </c>
      <c r="BN772" t="s">
        <v>74</v>
      </c>
      <c r="BO772" t="s">
        <v>123</v>
      </c>
      <c r="BP772" t="s">
        <v>74</v>
      </c>
      <c r="BQ772" t="s">
        <v>74</v>
      </c>
      <c r="BR772" t="s">
        <v>101</v>
      </c>
      <c r="BS772" t="s">
        <v>9366</v>
      </c>
      <c r="BT772" t="str">
        <f>HYPERLINK("https%3A%2F%2Fwww.webofscience.com%2Fwos%2Fwoscc%2Ffull-record%2FWOS:A1997YC70500002","View Full Record in Web of Science")</f>
        <v>View Full Record in Web of Science</v>
      </c>
    </row>
    <row r="773" spans="1:72" x14ac:dyDescent="0.15">
      <c r="A773" t="s">
        <v>72</v>
      </c>
      <c r="B773" t="s">
        <v>9367</v>
      </c>
      <c r="C773" t="s">
        <v>74</v>
      </c>
      <c r="D773" t="s">
        <v>74</v>
      </c>
      <c r="E773" t="s">
        <v>74</v>
      </c>
      <c r="F773" t="s">
        <v>9367</v>
      </c>
      <c r="G773" t="s">
        <v>74</v>
      </c>
      <c r="H773" t="s">
        <v>74</v>
      </c>
      <c r="I773" t="s">
        <v>9368</v>
      </c>
      <c r="J773" t="s">
        <v>1658</v>
      </c>
      <c r="K773" t="s">
        <v>74</v>
      </c>
      <c r="L773" t="s">
        <v>74</v>
      </c>
      <c r="M773" t="s">
        <v>77</v>
      </c>
      <c r="N773" t="s">
        <v>78</v>
      </c>
      <c r="O773" t="s">
        <v>74</v>
      </c>
      <c r="P773" t="s">
        <v>74</v>
      </c>
      <c r="Q773" t="s">
        <v>74</v>
      </c>
      <c r="R773" t="s">
        <v>74</v>
      </c>
      <c r="S773" t="s">
        <v>74</v>
      </c>
      <c r="T773" t="s">
        <v>74</v>
      </c>
      <c r="U773" t="s">
        <v>9369</v>
      </c>
      <c r="V773" t="s">
        <v>9370</v>
      </c>
      <c r="W773" t="s">
        <v>9371</v>
      </c>
      <c r="X773" t="s">
        <v>9372</v>
      </c>
      <c r="Y773" t="s">
        <v>9373</v>
      </c>
      <c r="Z773" t="s">
        <v>74</v>
      </c>
      <c r="AA773" t="s">
        <v>9374</v>
      </c>
      <c r="AB773" t="s">
        <v>9375</v>
      </c>
      <c r="AC773" t="s">
        <v>74</v>
      </c>
      <c r="AD773" t="s">
        <v>74</v>
      </c>
      <c r="AE773" t="s">
        <v>74</v>
      </c>
      <c r="AF773" t="s">
        <v>74</v>
      </c>
      <c r="AG773">
        <v>63</v>
      </c>
      <c r="AH773">
        <v>7</v>
      </c>
      <c r="AI773">
        <v>7</v>
      </c>
      <c r="AJ773">
        <v>0</v>
      </c>
      <c r="AK773">
        <v>1</v>
      </c>
      <c r="AL773" t="s">
        <v>87</v>
      </c>
      <c r="AM773" t="s">
        <v>88</v>
      </c>
      <c r="AN773" t="s">
        <v>89</v>
      </c>
      <c r="AO773" t="s">
        <v>1680</v>
      </c>
      <c r="AP773" t="s">
        <v>1681</v>
      </c>
      <c r="AQ773" t="s">
        <v>74</v>
      </c>
      <c r="AR773" t="s">
        <v>1661</v>
      </c>
      <c r="AS773" t="s">
        <v>1662</v>
      </c>
      <c r="AT773" t="s">
        <v>9376</v>
      </c>
      <c r="AU773">
        <v>1997</v>
      </c>
      <c r="AV773">
        <v>102</v>
      </c>
      <c r="AW773" t="s">
        <v>9377</v>
      </c>
      <c r="AX773" t="s">
        <v>74</v>
      </c>
      <c r="AY773" t="s">
        <v>74</v>
      </c>
      <c r="AZ773" t="s">
        <v>74</v>
      </c>
      <c r="BA773" t="s">
        <v>74</v>
      </c>
      <c r="BB773">
        <v>22247</v>
      </c>
      <c r="BC773">
        <v>22260</v>
      </c>
      <c r="BD773" t="s">
        <v>74</v>
      </c>
      <c r="BE773" t="s">
        <v>9378</v>
      </c>
      <c r="BF773" t="str">
        <f>HYPERLINK("http://dx.doi.org/10.1029/97JA01907","http://dx.doi.org/10.1029/97JA01907")</f>
        <v>http://dx.doi.org/10.1029/97JA01907</v>
      </c>
      <c r="BG773" t="s">
        <v>74</v>
      </c>
      <c r="BH773" t="s">
        <v>74</v>
      </c>
      <c r="BI773">
        <v>14</v>
      </c>
      <c r="BJ773" t="s">
        <v>971</v>
      </c>
      <c r="BK773" t="s">
        <v>98</v>
      </c>
      <c r="BL773" t="s">
        <v>971</v>
      </c>
      <c r="BM773" t="s">
        <v>9379</v>
      </c>
      <c r="BN773" t="s">
        <v>74</v>
      </c>
      <c r="BO773" t="s">
        <v>100</v>
      </c>
      <c r="BP773" t="s">
        <v>74</v>
      </c>
      <c r="BQ773" t="s">
        <v>74</v>
      </c>
      <c r="BR773" t="s">
        <v>101</v>
      </c>
      <c r="BS773" t="s">
        <v>9380</v>
      </c>
      <c r="BT773" t="str">
        <f>HYPERLINK("https%3A%2F%2Fwww.webofscience.com%2Fwos%2Fwoscc%2Ffull-record%2FWOS:A1997XZ20800018","View Full Record in Web of Science")</f>
        <v>View Full Record in Web of Science</v>
      </c>
    </row>
    <row r="774" spans="1:72" x14ac:dyDescent="0.15">
      <c r="A774" t="s">
        <v>72</v>
      </c>
      <c r="B774" t="s">
        <v>9381</v>
      </c>
      <c r="C774" t="s">
        <v>74</v>
      </c>
      <c r="D774" t="s">
        <v>74</v>
      </c>
      <c r="E774" t="s">
        <v>74</v>
      </c>
      <c r="F774" t="s">
        <v>9381</v>
      </c>
      <c r="G774" t="s">
        <v>74</v>
      </c>
      <c r="H774" t="s">
        <v>74</v>
      </c>
      <c r="I774" t="s">
        <v>9382</v>
      </c>
      <c r="J774" t="s">
        <v>684</v>
      </c>
      <c r="K774" t="s">
        <v>74</v>
      </c>
      <c r="L774" t="s">
        <v>74</v>
      </c>
      <c r="M774" t="s">
        <v>77</v>
      </c>
      <c r="N774" t="s">
        <v>78</v>
      </c>
      <c r="O774" t="s">
        <v>74</v>
      </c>
      <c r="P774" t="s">
        <v>74</v>
      </c>
      <c r="Q774" t="s">
        <v>74</v>
      </c>
      <c r="R774" t="s">
        <v>74</v>
      </c>
      <c r="S774" t="s">
        <v>74</v>
      </c>
      <c r="T774" t="s">
        <v>9383</v>
      </c>
      <c r="U774" t="s">
        <v>9384</v>
      </c>
      <c r="V774" t="s">
        <v>9385</v>
      </c>
      <c r="W774" t="s">
        <v>9386</v>
      </c>
      <c r="X774" t="s">
        <v>322</v>
      </c>
      <c r="Y774" t="s">
        <v>74</v>
      </c>
      <c r="Z774" t="s">
        <v>74</v>
      </c>
      <c r="AA774" t="s">
        <v>74</v>
      </c>
      <c r="AB774" t="s">
        <v>74</v>
      </c>
      <c r="AC774" t="s">
        <v>74</v>
      </c>
      <c r="AD774" t="s">
        <v>74</v>
      </c>
      <c r="AE774" t="s">
        <v>74</v>
      </c>
      <c r="AF774" t="s">
        <v>74</v>
      </c>
      <c r="AG774">
        <v>29</v>
      </c>
      <c r="AH774">
        <v>14</v>
      </c>
      <c r="AI774">
        <v>14</v>
      </c>
      <c r="AJ774">
        <v>0</v>
      </c>
      <c r="AK774">
        <v>13</v>
      </c>
      <c r="AL774" t="s">
        <v>451</v>
      </c>
      <c r="AM774" t="s">
        <v>214</v>
      </c>
      <c r="AN774" t="s">
        <v>7151</v>
      </c>
      <c r="AO774" t="s">
        <v>690</v>
      </c>
      <c r="AP774" t="s">
        <v>74</v>
      </c>
      <c r="AQ774" t="s">
        <v>74</v>
      </c>
      <c r="AR774" t="s">
        <v>692</v>
      </c>
      <c r="AS774" t="s">
        <v>693</v>
      </c>
      <c r="AT774" t="s">
        <v>9123</v>
      </c>
      <c r="AU774">
        <v>1997</v>
      </c>
      <c r="AV774">
        <v>43</v>
      </c>
      <c r="AW774">
        <v>10</v>
      </c>
      <c r="AX774" t="s">
        <v>74</v>
      </c>
      <c r="AY774" t="s">
        <v>74</v>
      </c>
      <c r="AZ774" t="s">
        <v>74</v>
      </c>
      <c r="BA774" t="s">
        <v>74</v>
      </c>
      <c r="BB774">
        <v>905</v>
      </c>
      <c r="BC774">
        <v>913</v>
      </c>
      <c r="BD774" t="s">
        <v>74</v>
      </c>
      <c r="BE774" t="s">
        <v>9387</v>
      </c>
      <c r="BF774" t="str">
        <f>HYPERLINK("http://dx.doi.org/10.1016/S0022-1910(97)00055-3","http://dx.doi.org/10.1016/S0022-1910(97)00055-3")</f>
        <v>http://dx.doi.org/10.1016/S0022-1910(97)00055-3</v>
      </c>
      <c r="BG774" t="s">
        <v>74</v>
      </c>
      <c r="BH774" t="s">
        <v>74</v>
      </c>
      <c r="BI774">
        <v>9</v>
      </c>
      <c r="BJ774" t="s">
        <v>696</v>
      </c>
      <c r="BK774" t="s">
        <v>98</v>
      </c>
      <c r="BL774" t="s">
        <v>696</v>
      </c>
      <c r="BM774" t="s">
        <v>9388</v>
      </c>
      <c r="BN774">
        <v>12770460</v>
      </c>
      <c r="BO774" t="s">
        <v>74</v>
      </c>
      <c r="BP774" t="s">
        <v>74</v>
      </c>
      <c r="BQ774" t="s">
        <v>74</v>
      </c>
      <c r="BR774" t="s">
        <v>101</v>
      </c>
      <c r="BS774" t="s">
        <v>9389</v>
      </c>
      <c r="BT774" t="str">
        <f>HYPERLINK("https%3A%2F%2Fwww.webofscience.com%2Fwos%2Fwoscc%2Ffull-record%2FWOS:A1997YK97900003","View Full Record in Web of Science")</f>
        <v>View Full Record in Web of Science</v>
      </c>
    </row>
    <row r="775" spans="1:72" x14ac:dyDescent="0.15">
      <c r="A775" t="s">
        <v>72</v>
      </c>
      <c r="B775" t="s">
        <v>9390</v>
      </c>
      <c r="C775" t="s">
        <v>74</v>
      </c>
      <c r="D775" t="s">
        <v>74</v>
      </c>
      <c r="E775" t="s">
        <v>74</v>
      </c>
      <c r="F775" t="s">
        <v>9390</v>
      </c>
      <c r="G775" t="s">
        <v>74</v>
      </c>
      <c r="H775" t="s">
        <v>74</v>
      </c>
      <c r="I775" t="s">
        <v>9391</v>
      </c>
      <c r="J775" t="s">
        <v>9392</v>
      </c>
      <c r="K775" t="s">
        <v>74</v>
      </c>
      <c r="L775" t="s">
        <v>74</v>
      </c>
      <c r="M775" t="s">
        <v>77</v>
      </c>
      <c r="N775" t="s">
        <v>78</v>
      </c>
      <c r="O775" t="s">
        <v>74</v>
      </c>
      <c r="P775" t="s">
        <v>74</v>
      </c>
      <c r="Q775" t="s">
        <v>74</v>
      </c>
      <c r="R775" t="s">
        <v>74</v>
      </c>
      <c r="S775" t="s">
        <v>74</v>
      </c>
      <c r="T775" t="s">
        <v>9393</v>
      </c>
      <c r="U775" t="s">
        <v>9394</v>
      </c>
      <c r="V775" t="s">
        <v>9395</v>
      </c>
      <c r="W775" t="s">
        <v>9396</v>
      </c>
      <c r="X775" t="s">
        <v>3532</v>
      </c>
      <c r="Y775" t="s">
        <v>74</v>
      </c>
      <c r="Z775" t="s">
        <v>74</v>
      </c>
      <c r="AA775" t="s">
        <v>74</v>
      </c>
      <c r="AB775" t="s">
        <v>9397</v>
      </c>
      <c r="AC775" t="s">
        <v>74</v>
      </c>
      <c r="AD775" t="s">
        <v>74</v>
      </c>
      <c r="AE775" t="s">
        <v>74</v>
      </c>
      <c r="AF775" t="s">
        <v>74</v>
      </c>
      <c r="AG775">
        <v>37</v>
      </c>
      <c r="AH775">
        <v>22</v>
      </c>
      <c r="AI775">
        <v>22</v>
      </c>
      <c r="AJ775">
        <v>0</v>
      </c>
      <c r="AK775">
        <v>6</v>
      </c>
      <c r="AL775" t="s">
        <v>1029</v>
      </c>
      <c r="AM775" t="s">
        <v>1030</v>
      </c>
      <c r="AN775" t="s">
        <v>1031</v>
      </c>
      <c r="AO775" t="s">
        <v>9398</v>
      </c>
      <c r="AP775" t="s">
        <v>74</v>
      </c>
      <c r="AQ775" t="s">
        <v>74</v>
      </c>
      <c r="AR775" t="s">
        <v>9399</v>
      </c>
      <c r="AS775" t="s">
        <v>9400</v>
      </c>
      <c r="AT775" t="s">
        <v>9123</v>
      </c>
      <c r="AU775">
        <v>1997</v>
      </c>
      <c r="AV775">
        <v>13</v>
      </c>
      <c r="AW775" t="s">
        <v>4183</v>
      </c>
      <c r="AX775" t="s">
        <v>74</v>
      </c>
      <c r="AY775" t="s">
        <v>74</v>
      </c>
      <c r="AZ775" t="s">
        <v>74</v>
      </c>
      <c r="BA775" t="s">
        <v>74</v>
      </c>
      <c r="BB775">
        <v>137</v>
      </c>
      <c r="BC775">
        <v>154</v>
      </c>
      <c r="BD775" t="s">
        <v>74</v>
      </c>
      <c r="BE775" t="s">
        <v>9401</v>
      </c>
      <c r="BF775" t="str">
        <f>HYPERLINK("http://dx.doi.org/10.1016/S0924-7963(96)00119-4","http://dx.doi.org/10.1016/S0924-7963(96)00119-4")</f>
        <v>http://dx.doi.org/10.1016/S0924-7963(96)00119-4</v>
      </c>
      <c r="BG775" t="s">
        <v>74</v>
      </c>
      <c r="BH775" t="s">
        <v>74</v>
      </c>
      <c r="BI775">
        <v>18</v>
      </c>
      <c r="BJ775" t="s">
        <v>9402</v>
      </c>
      <c r="BK775" t="s">
        <v>98</v>
      </c>
      <c r="BL775" t="s">
        <v>9403</v>
      </c>
      <c r="BM775" t="s">
        <v>9404</v>
      </c>
      <c r="BN775" t="s">
        <v>74</v>
      </c>
      <c r="BO775" t="s">
        <v>6848</v>
      </c>
      <c r="BP775" t="s">
        <v>74</v>
      </c>
      <c r="BQ775" t="s">
        <v>74</v>
      </c>
      <c r="BR775" t="s">
        <v>101</v>
      </c>
      <c r="BS775" t="s">
        <v>9405</v>
      </c>
      <c r="BT775" t="str">
        <f>HYPERLINK("https%3A%2F%2Fwww.webofscience.com%2Fwos%2Fwoscc%2Ffull-record%2FWOS:A1997YB19400009","View Full Record in Web of Science")</f>
        <v>View Full Record in Web of Science</v>
      </c>
    </row>
    <row r="776" spans="1:72" x14ac:dyDescent="0.15">
      <c r="A776" t="s">
        <v>72</v>
      </c>
      <c r="B776" t="s">
        <v>9406</v>
      </c>
      <c r="C776" t="s">
        <v>74</v>
      </c>
      <c r="D776" t="s">
        <v>74</v>
      </c>
      <c r="E776" t="s">
        <v>74</v>
      </c>
      <c r="F776" t="s">
        <v>9406</v>
      </c>
      <c r="G776" t="s">
        <v>74</v>
      </c>
      <c r="H776" t="s">
        <v>74</v>
      </c>
      <c r="I776" t="s">
        <v>9407</v>
      </c>
      <c r="J776" t="s">
        <v>9408</v>
      </c>
      <c r="K776" t="s">
        <v>74</v>
      </c>
      <c r="L776" t="s">
        <v>74</v>
      </c>
      <c r="M776" t="s">
        <v>77</v>
      </c>
      <c r="N776" t="s">
        <v>78</v>
      </c>
      <c r="O776" t="s">
        <v>74</v>
      </c>
      <c r="P776" t="s">
        <v>74</v>
      </c>
      <c r="Q776" t="s">
        <v>74</v>
      </c>
      <c r="R776" t="s">
        <v>74</v>
      </c>
      <c r="S776" t="s">
        <v>74</v>
      </c>
      <c r="T776" t="s">
        <v>9409</v>
      </c>
      <c r="U776" t="s">
        <v>9410</v>
      </c>
      <c r="V776" t="s">
        <v>9411</v>
      </c>
      <c r="W776" t="s">
        <v>9412</v>
      </c>
      <c r="X776" t="s">
        <v>9413</v>
      </c>
      <c r="Y776" t="s">
        <v>74</v>
      </c>
      <c r="Z776" t="s">
        <v>74</v>
      </c>
      <c r="AA776" t="s">
        <v>74</v>
      </c>
      <c r="AB776" t="s">
        <v>9414</v>
      </c>
      <c r="AC776" t="s">
        <v>74</v>
      </c>
      <c r="AD776" t="s">
        <v>74</v>
      </c>
      <c r="AE776" t="s">
        <v>74</v>
      </c>
      <c r="AF776" t="s">
        <v>74</v>
      </c>
      <c r="AG776">
        <v>34</v>
      </c>
      <c r="AH776">
        <v>31</v>
      </c>
      <c r="AI776">
        <v>34</v>
      </c>
      <c r="AJ776">
        <v>0</v>
      </c>
      <c r="AK776">
        <v>3</v>
      </c>
      <c r="AL776" t="s">
        <v>897</v>
      </c>
      <c r="AM776" t="s">
        <v>244</v>
      </c>
      <c r="AN776" t="s">
        <v>7783</v>
      </c>
      <c r="AO776" t="s">
        <v>9415</v>
      </c>
      <c r="AP776" t="s">
        <v>74</v>
      </c>
      <c r="AQ776" t="s">
        <v>74</v>
      </c>
      <c r="AR776" t="s">
        <v>9416</v>
      </c>
      <c r="AS776" t="s">
        <v>9417</v>
      </c>
      <c r="AT776" t="s">
        <v>9123</v>
      </c>
      <c r="AU776">
        <v>1997</v>
      </c>
      <c r="AV776">
        <v>45</v>
      </c>
      <c r="AW776">
        <v>4</v>
      </c>
      <c r="AX776" t="s">
        <v>74</v>
      </c>
      <c r="AY776" t="s">
        <v>74</v>
      </c>
      <c r="AZ776" t="s">
        <v>74</v>
      </c>
      <c r="BA776" t="s">
        <v>74</v>
      </c>
      <c r="BB776">
        <v>437</v>
      </c>
      <c r="BC776">
        <v>445</v>
      </c>
      <c r="BD776" t="s">
        <v>74</v>
      </c>
      <c r="BE776" t="s">
        <v>9418</v>
      </c>
      <c r="BF776" t="str">
        <f>HYPERLINK("http://dx.doi.org/10.1007/PL00006248","http://dx.doi.org/10.1007/PL00006248")</f>
        <v>http://dx.doi.org/10.1007/PL00006248</v>
      </c>
      <c r="BG776" t="s">
        <v>74</v>
      </c>
      <c r="BH776" t="s">
        <v>74</v>
      </c>
      <c r="BI776">
        <v>9</v>
      </c>
      <c r="BJ776" t="s">
        <v>9419</v>
      </c>
      <c r="BK776" t="s">
        <v>98</v>
      </c>
      <c r="BL776" t="s">
        <v>9419</v>
      </c>
      <c r="BM776" t="s">
        <v>9420</v>
      </c>
      <c r="BN776">
        <v>9321422</v>
      </c>
      <c r="BO776" t="s">
        <v>74</v>
      </c>
      <c r="BP776" t="s">
        <v>74</v>
      </c>
      <c r="BQ776" t="s">
        <v>74</v>
      </c>
      <c r="BR776" t="s">
        <v>101</v>
      </c>
      <c r="BS776" t="s">
        <v>9421</v>
      </c>
      <c r="BT776" t="str">
        <f>HYPERLINK("https%3A%2F%2Fwww.webofscience.com%2Fwos%2Fwoscc%2Ffull-record%2FWOS:A1997XX82400012","View Full Record in Web of Science")</f>
        <v>View Full Record in Web of Science</v>
      </c>
    </row>
    <row r="777" spans="1:72" x14ac:dyDescent="0.15">
      <c r="A777" t="s">
        <v>72</v>
      </c>
      <c r="B777" t="s">
        <v>9422</v>
      </c>
      <c r="C777" t="s">
        <v>74</v>
      </c>
      <c r="D777" t="s">
        <v>74</v>
      </c>
      <c r="E777" t="s">
        <v>74</v>
      </c>
      <c r="F777" t="s">
        <v>9422</v>
      </c>
      <c r="G777" t="s">
        <v>74</v>
      </c>
      <c r="H777" t="s">
        <v>74</v>
      </c>
      <c r="I777" t="s">
        <v>9423</v>
      </c>
      <c r="J777" t="s">
        <v>9424</v>
      </c>
      <c r="K777" t="s">
        <v>74</v>
      </c>
      <c r="L777" t="s">
        <v>74</v>
      </c>
      <c r="M777" t="s">
        <v>77</v>
      </c>
      <c r="N777" t="s">
        <v>78</v>
      </c>
      <c r="O777" t="s">
        <v>74</v>
      </c>
      <c r="P777" t="s">
        <v>74</v>
      </c>
      <c r="Q777" t="s">
        <v>74</v>
      </c>
      <c r="R777" t="s">
        <v>74</v>
      </c>
      <c r="S777" t="s">
        <v>74</v>
      </c>
      <c r="T777" t="s">
        <v>74</v>
      </c>
      <c r="U777" t="s">
        <v>74</v>
      </c>
      <c r="V777" t="s">
        <v>9425</v>
      </c>
      <c r="W777" t="s">
        <v>74</v>
      </c>
      <c r="X777" t="s">
        <v>74</v>
      </c>
      <c r="Y777" t="s">
        <v>9426</v>
      </c>
      <c r="Z777" t="s">
        <v>74</v>
      </c>
      <c r="AA777" t="s">
        <v>74</v>
      </c>
      <c r="AB777" t="s">
        <v>74</v>
      </c>
      <c r="AC777" t="s">
        <v>74</v>
      </c>
      <c r="AD777" t="s">
        <v>74</v>
      </c>
      <c r="AE777" t="s">
        <v>74</v>
      </c>
      <c r="AF777" t="s">
        <v>74</v>
      </c>
      <c r="AG777">
        <v>23</v>
      </c>
      <c r="AH777">
        <v>15</v>
      </c>
      <c r="AI777">
        <v>16</v>
      </c>
      <c r="AJ777">
        <v>0</v>
      </c>
      <c r="AK777">
        <v>6</v>
      </c>
      <c r="AL777" t="s">
        <v>9427</v>
      </c>
      <c r="AM777" t="s">
        <v>244</v>
      </c>
      <c r="AN777" t="s">
        <v>9428</v>
      </c>
      <c r="AO777" t="s">
        <v>9429</v>
      </c>
      <c r="AP777" t="s">
        <v>74</v>
      </c>
      <c r="AQ777" t="s">
        <v>74</v>
      </c>
      <c r="AR777" t="s">
        <v>9430</v>
      </c>
      <c r="AS777" t="s">
        <v>9431</v>
      </c>
      <c r="AT777" t="s">
        <v>9123</v>
      </c>
      <c r="AU777">
        <v>1997</v>
      </c>
      <c r="AV777">
        <v>234</v>
      </c>
      <c r="AW777">
        <v>1</v>
      </c>
      <c r="AX777" t="s">
        <v>74</v>
      </c>
      <c r="AY777" t="s">
        <v>74</v>
      </c>
      <c r="AZ777" t="s">
        <v>74</v>
      </c>
      <c r="BA777" t="s">
        <v>74</v>
      </c>
      <c r="BB777">
        <v>25</v>
      </c>
      <c r="BC777">
        <v>36</v>
      </c>
      <c r="BD777" t="s">
        <v>74</v>
      </c>
      <c r="BE777" t="s">
        <v>74</v>
      </c>
      <c r="BF777" t="s">
        <v>74</v>
      </c>
      <c r="BG777" t="s">
        <v>74</v>
      </c>
      <c r="BH777" t="s">
        <v>74</v>
      </c>
      <c r="BI777">
        <v>12</v>
      </c>
      <c r="BJ777" t="s">
        <v>9432</v>
      </c>
      <c r="BK777" t="s">
        <v>98</v>
      </c>
      <c r="BL777" t="s">
        <v>9432</v>
      </c>
      <c r="BM777" t="s">
        <v>9433</v>
      </c>
      <c r="BN777">
        <v>9329201</v>
      </c>
      <c r="BO777" t="s">
        <v>74</v>
      </c>
      <c r="BP777" t="s">
        <v>74</v>
      </c>
      <c r="BQ777" t="s">
        <v>74</v>
      </c>
      <c r="BR777" t="s">
        <v>101</v>
      </c>
      <c r="BS777" t="s">
        <v>9434</v>
      </c>
      <c r="BT777" t="str">
        <f>HYPERLINK("https%3A%2F%2Fwww.webofscience.com%2Fwos%2Fwoscc%2Ffull-record%2FWOS:A1997XZ22900003","View Full Record in Web of Science")</f>
        <v>View Full Record in Web of Science</v>
      </c>
    </row>
    <row r="778" spans="1:72" x14ac:dyDescent="0.15">
      <c r="A778" t="s">
        <v>72</v>
      </c>
      <c r="B778" t="s">
        <v>9435</v>
      </c>
      <c r="C778" t="s">
        <v>74</v>
      </c>
      <c r="D778" t="s">
        <v>74</v>
      </c>
      <c r="E778" t="s">
        <v>74</v>
      </c>
      <c r="F778" t="s">
        <v>9435</v>
      </c>
      <c r="G778" t="s">
        <v>74</v>
      </c>
      <c r="H778" t="s">
        <v>74</v>
      </c>
      <c r="I778" t="s">
        <v>9436</v>
      </c>
      <c r="J778" t="s">
        <v>701</v>
      </c>
      <c r="K778" t="s">
        <v>74</v>
      </c>
      <c r="L778" t="s">
        <v>74</v>
      </c>
      <c r="M778" t="s">
        <v>77</v>
      </c>
      <c r="N778" t="s">
        <v>78</v>
      </c>
      <c r="O778" t="s">
        <v>74</v>
      </c>
      <c r="P778" t="s">
        <v>74</v>
      </c>
      <c r="Q778" t="s">
        <v>74</v>
      </c>
      <c r="R778" t="s">
        <v>74</v>
      </c>
      <c r="S778" t="s">
        <v>74</v>
      </c>
      <c r="T778" t="s">
        <v>74</v>
      </c>
      <c r="U778" t="s">
        <v>9437</v>
      </c>
      <c r="V778" t="s">
        <v>9438</v>
      </c>
      <c r="W778" t="s">
        <v>9439</v>
      </c>
      <c r="X778" t="s">
        <v>9440</v>
      </c>
      <c r="Y778" t="s">
        <v>74</v>
      </c>
      <c r="Z778" t="s">
        <v>74</v>
      </c>
      <c r="AA778" t="s">
        <v>9441</v>
      </c>
      <c r="AB778" t="s">
        <v>9442</v>
      </c>
      <c r="AC778" t="s">
        <v>74</v>
      </c>
      <c r="AD778" t="s">
        <v>74</v>
      </c>
      <c r="AE778" t="s">
        <v>74</v>
      </c>
      <c r="AF778" t="s">
        <v>74</v>
      </c>
      <c r="AG778">
        <v>27</v>
      </c>
      <c r="AH778">
        <v>42</v>
      </c>
      <c r="AI778">
        <v>44</v>
      </c>
      <c r="AJ778">
        <v>0</v>
      </c>
      <c r="AK778">
        <v>11</v>
      </c>
      <c r="AL778" t="s">
        <v>707</v>
      </c>
      <c r="AM778" t="s">
        <v>88</v>
      </c>
      <c r="AN778" t="s">
        <v>8903</v>
      </c>
      <c r="AO778" t="s">
        <v>709</v>
      </c>
      <c r="AP778" t="s">
        <v>74</v>
      </c>
      <c r="AQ778" t="s">
        <v>74</v>
      </c>
      <c r="AR778" t="s">
        <v>710</v>
      </c>
      <c r="AS778" t="s">
        <v>711</v>
      </c>
      <c r="AT778" t="s">
        <v>9123</v>
      </c>
      <c r="AU778">
        <v>1997</v>
      </c>
      <c r="AV778">
        <v>60</v>
      </c>
      <c r="AW778">
        <v>10</v>
      </c>
      <c r="AX778" t="s">
        <v>74</v>
      </c>
      <c r="AY778" t="s">
        <v>74</v>
      </c>
      <c r="AZ778" t="s">
        <v>74</v>
      </c>
      <c r="BA778" t="s">
        <v>74</v>
      </c>
      <c r="BB778">
        <v>959</v>
      </c>
      <c r="BC778">
        <v>966</v>
      </c>
      <c r="BD778" t="s">
        <v>74</v>
      </c>
      <c r="BE778" t="s">
        <v>9443</v>
      </c>
      <c r="BF778" t="str">
        <f>HYPERLINK("http://dx.doi.org/10.1021/np9700578","http://dx.doi.org/10.1021/np9700578")</f>
        <v>http://dx.doi.org/10.1021/np9700578</v>
      </c>
      <c r="BG778" t="s">
        <v>74</v>
      </c>
      <c r="BH778" t="s">
        <v>74</v>
      </c>
      <c r="BI778">
        <v>8</v>
      </c>
      <c r="BJ778" t="s">
        <v>713</v>
      </c>
      <c r="BK778" t="s">
        <v>714</v>
      </c>
      <c r="BL778" t="s">
        <v>715</v>
      </c>
      <c r="BM778" t="s">
        <v>9444</v>
      </c>
      <c r="BN778">
        <v>9358635</v>
      </c>
      <c r="BO778" t="s">
        <v>74</v>
      </c>
      <c r="BP778" t="s">
        <v>74</v>
      </c>
      <c r="BQ778" t="s">
        <v>74</v>
      </c>
      <c r="BR778" t="s">
        <v>101</v>
      </c>
      <c r="BS778" t="s">
        <v>9445</v>
      </c>
      <c r="BT778" t="str">
        <f>HYPERLINK("https%3A%2F%2Fwww.webofscience.com%2Fwos%2Fwoscc%2Ffull-record%2FWOS:A1997YD22200001","View Full Record in Web of Science")</f>
        <v>View Full Record in Web of Science</v>
      </c>
    </row>
    <row r="779" spans="1:72" x14ac:dyDescent="0.15">
      <c r="A779" t="s">
        <v>72</v>
      </c>
      <c r="B779" t="s">
        <v>9446</v>
      </c>
      <c r="C779" t="s">
        <v>74</v>
      </c>
      <c r="D779" t="s">
        <v>74</v>
      </c>
      <c r="E779" t="s">
        <v>74</v>
      </c>
      <c r="F779" t="s">
        <v>9446</v>
      </c>
      <c r="G779" t="s">
        <v>74</v>
      </c>
      <c r="H779" t="s">
        <v>74</v>
      </c>
      <c r="I779" t="s">
        <v>9447</v>
      </c>
      <c r="J779" t="s">
        <v>739</v>
      </c>
      <c r="K779" t="s">
        <v>74</v>
      </c>
      <c r="L779" t="s">
        <v>74</v>
      </c>
      <c r="M779" t="s">
        <v>77</v>
      </c>
      <c r="N779" t="s">
        <v>78</v>
      </c>
      <c r="O779" t="s">
        <v>74</v>
      </c>
      <c r="P779" t="s">
        <v>74</v>
      </c>
      <c r="Q779" t="s">
        <v>74</v>
      </c>
      <c r="R779" t="s">
        <v>74</v>
      </c>
      <c r="S779" t="s">
        <v>74</v>
      </c>
      <c r="T779" t="s">
        <v>74</v>
      </c>
      <c r="U779" t="s">
        <v>9448</v>
      </c>
      <c r="V779" t="s">
        <v>9449</v>
      </c>
      <c r="W779" t="s">
        <v>74</v>
      </c>
      <c r="X779" t="s">
        <v>74</v>
      </c>
      <c r="Y779" t="s">
        <v>9450</v>
      </c>
      <c r="Z779" t="s">
        <v>74</v>
      </c>
      <c r="AA779" t="s">
        <v>9451</v>
      </c>
      <c r="AB779" t="s">
        <v>9452</v>
      </c>
      <c r="AC779" t="s">
        <v>74</v>
      </c>
      <c r="AD779" t="s">
        <v>74</v>
      </c>
      <c r="AE779" t="s">
        <v>74</v>
      </c>
      <c r="AF779" t="s">
        <v>74</v>
      </c>
      <c r="AG779">
        <v>29</v>
      </c>
      <c r="AH779">
        <v>78</v>
      </c>
      <c r="AI779">
        <v>83</v>
      </c>
      <c r="AJ779">
        <v>1</v>
      </c>
      <c r="AK779">
        <v>5</v>
      </c>
      <c r="AL779" t="s">
        <v>627</v>
      </c>
      <c r="AM779" t="s">
        <v>628</v>
      </c>
      <c r="AN779" t="s">
        <v>629</v>
      </c>
      <c r="AO779" t="s">
        <v>746</v>
      </c>
      <c r="AP779" t="s">
        <v>9453</v>
      </c>
      <c r="AQ779" t="s">
        <v>74</v>
      </c>
      <c r="AR779" t="s">
        <v>747</v>
      </c>
      <c r="AS779" t="s">
        <v>748</v>
      </c>
      <c r="AT779" t="s">
        <v>9123</v>
      </c>
      <c r="AU779">
        <v>1997</v>
      </c>
      <c r="AV779">
        <v>27</v>
      </c>
      <c r="AW779">
        <v>10</v>
      </c>
      <c r="AX779" t="s">
        <v>74</v>
      </c>
      <c r="AY779" t="s">
        <v>74</v>
      </c>
      <c r="AZ779" t="s">
        <v>74</v>
      </c>
      <c r="BA779" t="s">
        <v>74</v>
      </c>
      <c r="BB779">
        <v>2219</v>
      </c>
      <c r="BC779">
        <v>2232</v>
      </c>
      <c r="BD779" t="s">
        <v>74</v>
      </c>
      <c r="BE779" t="s">
        <v>9454</v>
      </c>
      <c r="BF779" t="str">
        <f>HYPERLINK("http://dx.doi.org/10.1175/1520-0485(1997)027&lt;2219:TSOMBE&gt;2.0.CO;2","http://dx.doi.org/10.1175/1520-0485(1997)027&lt;2219:TSOMBE&gt;2.0.CO;2")</f>
        <v>http://dx.doi.org/10.1175/1520-0485(1997)027&lt;2219:TSOMBE&gt;2.0.CO;2</v>
      </c>
      <c r="BG779" t="s">
        <v>74</v>
      </c>
      <c r="BH779" t="s">
        <v>74</v>
      </c>
      <c r="BI779">
        <v>14</v>
      </c>
      <c r="BJ779" t="s">
        <v>97</v>
      </c>
      <c r="BK779" t="s">
        <v>98</v>
      </c>
      <c r="BL779" t="s">
        <v>97</v>
      </c>
      <c r="BM779" t="s">
        <v>9455</v>
      </c>
      <c r="BN779" t="s">
        <v>74</v>
      </c>
      <c r="BO779" t="s">
        <v>100</v>
      </c>
      <c r="BP779" t="s">
        <v>74</v>
      </c>
      <c r="BQ779" t="s">
        <v>74</v>
      </c>
      <c r="BR779" t="s">
        <v>101</v>
      </c>
      <c r="BS779" t="s">
        <v>9456</v>
      </c>
      <c r="BT779" t="str">
        <f>HYPERLINK("https%3A%2F%2Fwww.webofscience.com%2Fwos%2Fwoscc%2Ffull-record%2FWOS:A1997YA95800010","View Full Record in Web of Science")</f>
        <v>View Full Record in Web of Science</v>
      </c>
    </row>
    <row r="780" spans="1:72" x14ac:dyDescent="0.15">
      <c r="A780" t="s">
        <v>72</v>
      </c>
      <c r="B780" t="s">
        <v>9457</v>
      </c>
      <c r="C780" t="s">
        <v>74</v>
      </c>
      <c r="D780" t="s">
        <v>74</v>
      </c>
      <c r="E780" t="s">
        <v>74</v>
      </c>
      <c r="F780" t="s">
        <v>9457</v>
      </c>
      <c r="G780" t="s">
        <v>74</v>
      </c>
      <c r="H780" t="s">
        <v>74</v>
      </c>
      <c r="I780" t="s">
        <v>9458</v>
      </c>
      <c r="J780" t="s">
        <v>1776</v>
      </c>
      <c r="K780" t="s">
        <v>74</v>
      </c>
      <c r="L780" t="s">
        <v>74</v>
      </c>
      <c r="M780" t="s">
        <v>77</v>
      </c>
      <c r="N780" t="s">
        <v>78</v>
      </c>
      <c r="O780" t="s">
        <v>74</v>
      </c>
      <c r="P780" t="s">
        <v>74</v>
      </c>
      <c r="Q780" t="s">
        <v>74</v>
      </c>
      <c r="R780" t="s">
        <v>74</v>
      </c>
      <c r="S780" t="s">
        <v>74</v>
      </c>
      <c r="T780" t="s">
        <v>74</v>
      </c>
      <c r="U780" t="s">
        <v>9459</v>
      </c>
      <c r="V780" t="s">
        <v>9460</v>
      </c>
      <c r="W780" t="s">
        <v>9461</v>
      </c>
      <c r="X780" t="s">
        <v>9462</v>
      </c>
      <c r="Y780" t="s">
        <v>7906</v>
      </c>
      <c r="Z780" t="s">
        <v>74</v>
      </c>
      <c r="AA780" t="s">
        <v>74</v>
      </c>
      <c r="AB780" t="s">
        <v>74</v>
      </c>
      <c r="AC780" t="s">
        <v>74</v>
      </c>
      <c r="AD780" t="s">
        <v>74</v>
      </c>
      <c r="AE780" t="s">
        <v>74</v>
      </c>
      <c r="AF780" t="s">
        <v>74</v>
      </c>
      <c r="AG780">
        <v>74</v>
      </c>
      <c r="AH780">
        <v>9</v>
      </c>
      <c r="AI780">
        <v>10</v>
      </c>
      <c r="AJ780">
        <v>1</v>
      </c>
      <c r="AK780">
        <v>19</v>
      </c>
      <c r="AL780" t="s">
        <v>877</v>
      </c>
      <c r="AM780" t="s">
        <v>826</v>
      </c>
      <c r="AN780" t="s">
        <v>827</v>
      </c>
      <c r="AO780" t="s">
        <v>1783</v>
      </c>
      <c r="AP780" t="s">
        <v>1784</v>
      </c>
      <c r="AQ780" t="s">
        <v>74</v>
      </c>
      <c r="AR780" t="s">
        <v>1785</v>
      </c>
      <c r="AS780" t="s">
        <v>1786</v>
      </c>
      <c r="AT780" t="s">
        <v>9123</v>
      </c>
      <c r="AU780">
        <v>1997</v>
      </c>
      <c r="AV780">
        <v>243</v>
      </c>
      <c r="AW780" t="s">
        <v>74</v>
      </c>
      <c r="AX780">
        <v>2</v>
      </c>
      <c r="AY780" t="s">
        <v>74</v>
      </c>
      <c r="AZ780" t="s">
        <v>74</v>
      </c>
      <c r="BA780" t="s">
        <v>74</v>
      </c>
      <c r="BB780">
        <v>305</v>
      </c>
      <c r="BC780">
        <v>318</v>
      </c>
      <c r="BD780" t="s">
        <v>74</v>
      </c>
      <c r="BE780" t="s">
        <v>9463</v>
      </c>
      <c r="BF780" t="str">
        <f>HYPERLINK("http://dx.doi.org/10.1111/j.1469-7998.1997.tb02784.x","http://dx.doi.org/10.1111/j.1469-7998.1997.tb02784.x")</f>
        <v>http://dx.doi.org/10.1111/j.1469-7998.1997.tb02784.x</v>
      </c>
      <c r="BG780" t="s">
        <v>74</v>
      </c>
      <c r="BH780" t="s">
        <v>74</v>
      </c>
      <c r="BI780">
        <v>14</v>
      </c>
      <c r="BJ780" t="s">
        <v>417</v>
      </c>
      <c r="BK780" t="s">
        <v>98</v>
      </c>
      <c r="BL780" t="s">
        <v>417</v>
      </c>
      <c r="BM780" t="s">
        <v>9464</v>
      </c>
      <c r="BN780" t="s">
        <v>74</v>
      </c>
      <c r="BO780" t="s">
        <v>74</v>
      </c>
      <c r="BP780" t="s">
        <v>74</v>
      </c>
      <c r="BQ780" t="s">
        <v>74</v>
      </c>
      <c r="BR780" t="s">
        <v>101</v>
      </c>
      <c r="BS780" t="s">
        <v>9465</v>
      </c>
      <c r="BT780" t="str">
        <f>HYPERLINK("https%3A%2F%2Fwww.webofscience.com%2Fwos%2Fwoscc%2Ffull-record%2FWOS:A1997YC96300007","View Full Record in Web of Science")</f>
        <v>View Full Record in Web of Science</v>
      </c>
    </row>
    <row r="781" spans="1:72" x14ac:dyDescent="0.15">
      <c r="A781" t="s">
        <v>72</v>
      </c>
      <c r="B781" t="s">
        <v>9466</v>
      </c>
      <c r="C781" t="s">
        <v>74</v>
      </c>
      <c r="D781" t="s">
        <v>74</v>
      </c>
      <c r="E781" t="s">
        <v>74</v>
      </c>
      <c r="F781" t="s">
        <v>9466</v>
      </c>
      <c r="G781" t="s">
        <v>74</v>
      </c>
      <c r="H781" t="s">
        <v>74</v>
      </c>
      <c r="I781" t="s">
        <v>9467</v>
      </c>
      <c r="J781" t="s">
        <v>9468</v>
      </c>
      <c r="K781" t="s">
        <v>74</v>
      </c>
      <c r="L781" t="s">
        <v>74</v>
      </c>
      <c r="M781" t="s">
        <v>77</v>
      </c>
      <c r="N781" t="s">
        <v>78</v>
      </c>
      <c r="O781" t="s">
        <v>74</v>
      </c>
      <c r="P781" t="s">
        <v>74</v>
      </c>
      <c r="Q781" t="s">
        <v>74</v>
      </c>
      <c r="R781" t="s">
        <v>74</v>
      </c>
      <c r="S781" t="s">
        <v>74</v>
      </c>
      <c r="T781" t="s">
        <v>74</v>
      </c>
      <c r="U781" t="s">
        <v>9469</v>
      </c>
      <c r="V781" t="s">
        <v>9470</v>
      </c>
      <c r="W781" t="s">
        <v>9471</v>
      </c>
      <c r="X781" t="s">
        <v>9472</v>
      </c>
      <c r="Y781" t="s">
        <v>9473</v>
      </c>
      <c r="Z781" t="s">
        <v>74</v>
      </c>
      <c r="AA781" t="s">
        <v>7076</v>
      </c>
      <c r="AB781" t="s">
        <v>9474</v>
      </c>
      <c r="AC781" t="s">
        <v>74</v>
      </c>
      <c r="AD781" t="s">
        <v>74</v>
      </c>
      <c r="AE781" t="s">
        <v>74</v>
      </c>
      <c r="AF781" t="s">
        <v>74</v>
      </c>
      <c r="AG781">
        <v>44</v>
      </c>
      <c r="AH781">
        <v>53</v>
      </c>
      <c r="AI781">
        <v>55</v>
      </c>
      <c r="AJ781">
        <v>0</v>
      </c>
      <c r="AK781">
        <v>15</v>
      </c>
      <c r="AL781" t="s">
        <v>9475</v>
      </c>
      <c r="AM781" t="s">
        <v>9476</v>
      </c>
      <c r="AN781" t="s">
        <v>9477</v>
      </c>
      <c r="AO781" t="s">
        <v>9478</v>
      </c>
      <c r="AP781" t="s">
        <v>74</v>
      </c>
      <c r="AQ781" t="s">
        <v>74</v>
      </c>
      <c r="AR781" t="s">
        <v>9468</v>
      </c>
      <c r="AS781" t="s">
        <v>9479</v>
      </c>
      <c r="AT781" t="s">
        <v>9123</v>
      </c>
      <c r="AU781">
        <v>1997</v>
      </c>
      <c r="AV781">
        <v>32</v>
      </c>
      <c r="AW781">
        <v>10</v>
      </c>
      <c r="AX781" t="s">
        <v>74</v>
      </c>
      <c r="AY781" t="s">
        <v>74</v>
      </c>
      <c r="AZ781" t="s">
        <v>74</v>
      </c>
      <c r="BA781" t="s">
        <v>74</v>
      </c>
      <c r="BB781">
        <v>1093</v>
      </c>
      <c r="BC781">
        <v>1100</v>
      </c>
      <c r="BD781" t="s">
        <v>74</v>
      </c>
      <c r="BE781" t="s">
        <v>9480</v>
      </c>
      <c r="BF781" t="str">
        <f>HYPERLINK("http://dx.doi.org/10.1007/s11745-997-0141-x","http://dx.doi.org/10.1007/s11745-997-0141-x")</f>
        <v>http://dx.doi.org/10.1007/s11745-997-0141-x</v>
      </c>
      <c r="BG781" t="s">
        <v>74</v>
      </c>
      <c r="BH781" t="s">
        <v>74</v>
      </c>
      <c r="BI781">
        <v>8</v>
      </c>
      <c r="BJ781" t="s">
        <v>9481</v>
      </c>
      <c r="BK781" t="s">
        <v>98</v>
      </c>
      <c r="BL781" t="s">
        <v>9481</v>
      </c>
      <c r="BM781" t="s">
        <v>9482</v>
      </c>
      <c r="BN781">
        <v>9358436</v>
      </c>
      <c r="BO781" t="s">
        <v>74</v>
      </c>
      <c r="BP781" t="s">
        <v>74</v>
      </c>
      <c r="BQ781" t="s">
        <v>74</v>
      </c>
      <c r="BR781" t="s">
        <v>101</v>
      </c>
      <c r="BS781" t="s">
        <v>9483</v>
      </c>
      <c r="BT781" t="str">
        <f>HYPERLINK("https%3A%2F%2Fwww.webofscience.com%2Fwos%2Fwoscc%2Ffull-record%2FWOS:A1997YC22200010","View Full Record in Web of Science")</f>
        <v>View Full Record in Web of Science</v>
      </c>
    </row>
    <row r="782" spans="1:72" x14ac:dyDescent="0.15">
      <c r="A782" t="s">
        <v>72</v>
      </c>
      <c r="B782" t="s">
        <v>9484</v>
      </c>
      <c r="C782" t="s">
        <v>74</v>
      </c>
      <c r="D782" t="s">
        <v>74</v>
      </c>
      <c r="E782" t="s">
        <v>74</v>
      </c>
      <c r="F782" t="s">
        <v>9484</v>
      </c>
      <c r="G782" t="s">
        <v>74</v>
      </c>
      <c r="H782" t="s">
        <v>74</v>
      </c>
      <c r="I782" t="s">
        <v>9485</v>
      </c>
      <c r="J782" t="s">
        <v>1792</v>
      </c>
      <c r="K782" t="s">
        <v>74</v>
      </c>
      <c r="L782" t="s">
        <v>74</v>
      </c>
      <c r="M782" t="s">
        <v>77</v>
      </c>
      <c r="N782" t="s">
        <v>78</v>
      </c>
      <c r="O782" t="s">
        <v>74</v>
      </c>
      <c r="P782" t="s">
        <v>74</v>
      </c>
      <c r="Q782" t="s">
        <v>74</v>
      </c>
      <c r="R782" t="s">
        <v>74</v>
      </c>
      <c r="S782" t="s">
        <v>74</v>
      </c>
      <c r="T782" t="s">
        <v>74</v>
      </c>
      <c r="U782" t="s">
        <v>9486</v>
      </c>
      <c r="V782" t="s">
        <v>9487</v>
      </c>
      <c r="W782" t="s">
        <v>74</v>
      </c>
      <c r="X782" t="s">
        <v>74</v>
      </c>
      <c r="Y782" t="s">
        <v>9488</v>
      </c>
      <c r="Z782" t="s">
        <v>74</v>
      </c>
      <c r="AA782" t="s">
        <v>9489</v>
      </c>
      <c r="AB782" t="s">
        <v>9490</v>
      </c>
      <c r="AC782" t="s">
        <v>74</v>
      </c>
      <c r="AD782" t="s">
        <v>74</v>
      </c>
      <c r="AE782" t="s">
        <v>74</v>
      </c>
      <c r="AF782" t="s">
        <v>74</v>
      </c>
      <c r="AG782">
        <v>93</v>
      </c>
      <c r="AH782">
        <v>31</v>
      </c>
      <c r="AI782">
        <v>31</v>
      </c>
      <c r="AJ782">
        <v>1</v>
      </c>
      <c r="AK782">
        <v>11</v>
      </c>
      <c r="AL782" t="s">
        <v>897</v>
      </c>
      <c r="AM782" t="s">
        <v>244</v>
      </c>
      <c r="AN782" t="s">
        <v>7783</v>
      </c>
      <c r="AO782" t="s">
        <v>1798</v>
      </c>
      <c r="AP782" t="s">
        <v>74</v>
      </c>
      <c r="AQ782" t="s">
        <v>74</v>
      </c>
      <c r="AR782" t="s">
        <v>1799</v>
      </c>
      <c r="AS782" t="s">
        <v>1800</v>
      </c>
      <c r="AT782" t="s">
        <v>9123</v>
      </c>
      <c r="AU782">
        <v>1997</v>
      </c>
      <c r="AV782">
        <v>129</v>
      </c>
      <c r="AW782">
        <v>4</v>
      </c>
      <c r="AX782" t="s">
        <v>74</v>
      </c>
      <c r="AY782" t="s">
        <v>74</v>
      </c>
      <c r="AZ782" t="s">
        <v>74</v>
      </c>
      <c r="BA782" t="s">
        <v>74</v>
      </c>
      <c r="BB782">
        <v>757</v>
      </c>
      <c r="BC782">
        <v>768</v>
      </c>
      <c r="BD782" t="s">
        <v>74</v>
      </c>
      <c r="BE782" t="s">
        <v>9491</v>
      </c>
      <c r="BF782" t="str">
        <f>HYPERLINK("http://dx.doi.org/10.1007/s002270050218","http://dx.doi.org/10.1007/s002270050218")</f>
        <v>http://dx.doi.org/10.1007/s002270050218</v>
      </c>
      <c r="BG782" t="s">
        <v>74</v>
      </c>
      <c r="BH782" t="s">
        <v>74</v>
      </c>
      <c r="BI782">
        <v>12</v>
      </c>
      <c r="BJ782" t="s">
        <v>1802</v>
      </c>
      <c r="BK782" t="s">
        <v>98</v>
      </c>
      <c r="BL782" t="s">
        <v>1802</v>
      </c>
      <c r="BM782" t="s">
        <v>9492</v>
      </c>
      <c r="BN782" t="s">
        <v>74</v>
      </c>
      <c r="BO782" t="s">
        <v>74</v>
      </c>
      <c r="BP782" t="s">
        <v>74</v>
      </c>
      <c r="BQ782" t="s">
        <v>74</v>
      </c>
      <c r="BR782" t="s">
        <v>101</v>
      </c>
      <c r="BS782" t="s">
        <v>9493</v>
      </c>
      <c r="BT782" t="str">
        <f>HYPERLINK("https%3A%2F%2Fwww.webofscience.com%2Fwos%2Fwoscc%2Ffull-record%2FWOS:A1997YF83800022","View Full Record in Web of Science")</f>
        <v>View Full Record in Web of Science</v>
      </c>
    </row>
    <row r="783" spans="1:72" x14ac:dyDescent="0.15">
      <c r="A783" t="s">
        <v>72</v>
      </c>
      <c r="B783" t="s">
        <v>9494</v>
      </c>
      <c r="C783" t="s">
        <v>74</v>
      </c>
      <c r="D783" t="s">
        <v>74</v>
      </c>
      <c r="E783" t="s">
        <v>74</v>
      </c>
      <c r="F783" t="s">
        <v>9494</v>
      </c>
      <c r="G783" t="s">
        <v>74</v>
      </c>
      <c r="H783" t="s">
        <v>74</v>
      </c>
      <c r="I783" t="s">
        <v>9495</v>
      </c>
      <c r="J783" t="s">
        <v>5749</v>
      </c>
      <c r="K783" t="s">
        <v>74</v>
      </c>
      <c r="L783" t="s">
        <v>74</v>
      </c>
      <c r="M783" t="s">
        <v>77</v>
      </c>
      <c r="N783" t="s">
        <v>78</v>
      </c>
      <c r="O783" t="s">
        <v>74</v>
      </c>
      <c r="P783" t="s">
        <v>74</v>
      </c>
      <c r="Q783" t="s">
        <v>74</v>
      </c>
      <c r="R783" t="s">
        <v>74</v>
      </c>
      <c r="S783" t="s">
        <v>74</v>
      </c>
      <c r="T783" t="s">
        <v>9496</v>
      </c>
      <c r="U783" t="s">
        <v>9497</v>
      </c>
      <c r="V783" t="s">
        <v>9498</v>
      </c>
      <c r="W783" t="s">
        <v>9499</v>
      </c>
      <c r="X783" t="s">
        <v>9500</v>
      </c>
      <c r="Y783" t="s">
        <v>9501</v>
      </c>
      <c r="Z783" t="s">
        <v>74</v>
      </c>
      <c r="AA783" t="s">
        <v>9502</v>
      </c>
      <c r="AB783" t="s">
        <v>9503</v>
      </c>
      <c r="AC783" t="s">
        <v>74</v>
      </c>
      <c r="AD783" t="s">
        <v>74</v>
      </c>
      <c r="AE783" t="s">
        <v>74</v>
      </c>
      <c r="AF783" t="s">
        <v>74</v>
      </c>
      <c r="AG783">
        <v>19</v>
      </c>
      <c r="AH783">
        <v>44</v>
      </c>
      <c r="AI783">
        <v>45</v>
      </c>
      <c r="AJ783">
        <v>0</v>
      </c>
      <c r="AK783">
        <v>8</v>
      </c>
      <c r="AL783" t="s">
        <v>854</v>
      </c>
      <c r="AM783" t="s">
        <v>855</v>
      </c>
      <c r="AN783" t="s">
        <v>856</v>
      </c>
      <c r="AO783" t="s">
        <v>5756</v>
      </c>
      <c r="AP783" t="s">
        <v>74</v>
      </c>
      <c r="AQ783" t="s">
        <v>74</v>
      </c>
      <c r="AR783" t="s">
        <v>5757</v>
      </c>
      <c r="AS783" t="s">
        <v>5758</v>
      </c>
      <c r="AT783" t="s">
        <v>9123</v>
      </c>
      <c r="AU783">
        <v>1997</v>
      </c>
      <c r="AV783">
        <v>19</v>
      </c>
      <c r="AW783">
        <v>5</v>
      </c>
      <c r="AX783" t="s">
        <v>74</v>
      </c>
      <c r="AY783" t="s">
        <v>74</v>
      </c>
      <c r="AZ783" t="s">
        <v>74</v>
      </c>
      <c r="BA783" t="s">
        <v>74</v>
      </c>
      <c r="BB783">
        <v>439</v>
      </c>
      <c r="BC783">
        <v>450</v>
      </c>
      <c r="BD783" t="s">
        <v>74</v>
      </c>
      <c r="BE783" t="s">
        <v>9504</v>
      </c>
      <c r="BF783" t="str">
        <f>HYPERLINK("http://dx.doi.org/10.1023/A:1004355707951","http://dx.doi.org/10.1023/A:1004355707951")</f>
        <v>http://dx.doi.org/10.1023/A:1004355707951</v>
      </c>
      <c r="BG783" t="s">
        <v>74</v>
      </c>
      <c r="BH783" t="s">
        <v>74</v>
      </c>
      <c r="BI783">
        <v>12</v>
      </c>
      <c r="BJ783" t="s">
        <v>5760</v>
      </c>
      <c r="BK783" t="s">
        <v>98</v>
      </c>
      <c r="BL783" t="s">
        <v>5760</v>
      </c>
      <c r="BM783" t="s">
        <v>9505</v>
      </c>
      <c r="BN783" t="s">
        <v>74</v>
      </c>
      <c r="BO783" t="s">
        <v>74</v>
      </c>
      <c r="BP783" t="s">
        <v>74</v>
      </c>
      <c r="BQ783" t="s">
        <v>74</v>
      </c>
      <c r="BR783" t="s">
        <v>101</v>
      </c>
      <c r="BS783" t="s">
        <v>9506</v>
      </c>
      <c r="BT783" t="str">
        <f>HYPERLINK("https%3A%2F%2Fwww.webofscience.com%2Fwos%2Fwoscc%2Ffull-record%2FWOS:000074958700005","View Full Record in Web of Science")</f>
        <v>View Full Record in Web of Science</v>
      </c>
    </row>
    <row r="784" spans="1:72" x14ac:dyDescent="0.15">
      <c r="A784" t="s">
        <v>72</v>
      </c>
      <c r="B784" t="s">
        <v>9507</v>
      </c>
      <c r="C784" t="s">
        <v>74</v>
      </c>
      <c r="D784" t="s">
        <v>74</v>
      </c>
      <c r="E784" t="s">
        <v>74</v>
      </c>
      <c r="F784" t="s">
        <v>9507</v>
      </c>
      <c r="G784" t="s">
        <v>74</v>
      </c>
      <c r="H784" t="s">
        <v>74</v>
      </c>
      <c r="I784" t="s">
        <v>9508</v>
      </c>
      <c r="J784" t="s">
        <v>9509</v>
      </c>
      <c r="K784" t="s">
        <v>74</v>
      </c>
      <c r="L784" t="s">
        <v>74</v>
      </c>
      <c r="M784" t="s">
        <v>77</v>
      </c>
      <c r="N784" t="s">
        <v>78</v>
      </c>
      <c r="O784" t="s">
        <v>74</v>
      </c>
      <c r="P784" t="s">
        <v>74</v>
      </c>
      <c r="Q784" t="s">
        <v>74</v>
      </c>
      <c r="R784" t="s">
        <v>74</v>
      </c>
      <c r="S784" t="s">
        <v>74</v>
      </c>
      <c r="T784" t="s">
        <v>9510</v>
      </c>
      <c r="U784" t="s">
        <v>9511</v>
      </c>
      <c r="V784" t="s">
        <v>9512</v>
      </c>
      <c r="W784" t="s">
        <v>9513</v>
      </c>
      <c r="X784" t="s">
        <v>7531</v>
      </c>
      <c r="Y784" t="s">
        <v>74</v>
      </c>
      <c r="Z784" t="s">
        <v>74</v>
      </c>
      <c r="AA784" t="s">
        <v>9514</v>
      </c>
      <c r="AB784" t="s">
        <v>8794</v>
      </c>
      <c r="AC784" t="s">
        <v>74</v>
      </c>
      <c r="AD784" t="s">
        <v>74</v>
      </c>
      <c r="AE784" t="s">
        <v>74</v>
      </c>
      <c r="AF784" t="s">
        <v>74</v>
      </c>
      <c r="AG784">
        <v>24</v>
      </c>
      <c r="AH784">
        <v>59</v>
      </c>
      <c r="AI784">
        <v>71</v>
      </c>
      <c r="AJ784">
        <v>3</v>
      </c>
      <c r="AK784">
        <v>27</v>
      </c>
      <c r="AL784" t="s">
        <v>9515</v>
      </c>
      <c r="AM784" t="s">
        <v>590</v>
      </c>
      <c r="AN784" t="s">
        <v>9516</v>
      </c>
      <c r="AO784" t="s">
        <v>9517</v>
      </c>
      <c r="AP784" t="s">
        <v>74</v>
      </c>
      <c r="AQ784" t="s">
        <v>74</v>
      </c>
      <c r="AR784" t="s">
        <v>9518</v>
      </c>
      <c r="AS784" t="s">
        <v>9519</v>
      </c>
      <c r="AT784" t="s">
        <v>9123</v>
      </c>
      <c r="AU784">
        <v>1997</v>
      </c>
      <c r="AV784">
        <v>13</v>
      </c>
      <c r="AW784">
        <v>4</v>
      </c>
      <c r="AX784" t="s">
        <v>74</v>
      </c>
      <c r="AY784" t="s">
        <v>74</v>
      </c>
      <c r="AZ784" t="s">
        <v>74</v>
      </c>
      <c r="BA784" t="s">
        <v>74</v>
      </c>
      <c r="BB784">
        <v>669</v>
      </c>
      <c r="BC784">
        <v>682</v>
      </c>
      <c r="BD784" t="s">
        <v>74</v>
      </c>
      <c r="BE784" t="s">
        <v>9520</v>
      </c>
      <c r="BF784" t="str">
        <f>HYPERLINK("http://dx.doi.org/10.1111/j.1748-7692.1997.tb00090.x","http://dx.doi.org/10.1111/j.1748-7692.1997.tb00090.x")</f>
        <v>http://dx.doi.org/10.1111/j.1748-7692.1997.tb00090.x</v>
      </c>
      <c r="BG784" t="s">
        <v>74</v>
      </c>
      <c r="BH784" t="s">
        <v>74</v>
      </c>
      <c r="BI784">
        <v>14</v>
      </c>
      <c r="BJ784" t="s">
        <v>1087</v>
      </c>
      <c r="BK784" t="s">
        <v>98</v>
      </c>
      <c r="BL784" t="s">
        <v>1087</v>
      </c>
      <c r="BM784" t="s">
        <v>9521</v>
      </c>
      <c r="BN784" t="s">
        <v>74</v>
      </c>
      <c r="BO784" t="s">
        <v>74</v>
      </c>
      <c r="BP784" t="s">
        <v>74</v>
      </c>
      <c r="BQ784" t="s">
        <v>74</v>
      </c>
      <c r="BR784" t="s">
        <v>101</v>
      </c>
      <c r="BS784" t="s">
        <v>9522</v>
      </c>
      <c r="BT784" t="str">
        <f>HYPERLINK("https%3A%2F%2Fwww.webofscience.com%2Fwos%2Fwoscc%2Ffull-record%2FWOS:A1997YA66000008","View Full Record in Web of Science")</f>
        <v>View Full Record in Web of Science</v>
      </c>
    </row>
    <row r="785" spans="1:72" x14ac:dyDescent="0.15">
      <c r="A785" t="s">
        <v>72</v>
      </c>
      <c r="B785" t="s">
        <v>9523</v>
      </c>
      <c r="C785" t="s">
        <v>74</v>
      </c>
      <c r="D785" t="s">
        <v>74</v>
      </c>
      <c r="E785" t="s">
        <v>74</v>
      </c>
      <c r="F785" t="s">
        <v>9523</v>
      </c>
      <c r="G785" t="s">
        <v>74</v>
      </c>
      <c r="H785" t="s">
        <v>74</v>
      </c>
      <c r="I785" t="s">
        <v>9524</v>
      </c>
      <c r="J785" t="s">
        <v>9525</v>
      </c>
      <c r="K785" t="s">
        <v>74</v>
      </c>
      <c r="L785" t="s">
        <v>74</v>
      </c>
      <c r="M785" t="s">
        <v>77</v>
      </c>
      <c r="N785" t="s">
        <v>78</v>
      </c>
      <c r="O785" t="s">
        <v>74</v>
      </c>
      <c r="P785" t="s">
        <v>74</v>
      </c>
      <c r="Q785" t="s">
        <v>74</v>
      </c>
      <c r="R785" t="s">
        <v>74</v>
      </c>
      <c r="S785" t="s">
        <v>74</v>
      </c>
      <c r="T785" t="s">
        <v>9526</v>
      </c>
      <c r="U785" t="s">
        <v>9527</v>
      </c>
      <c r="V785" t="s">
        <v>9528</v>
      </c>
      <c r="W785" t="s">
        <v>9529</v>
      </c>
      <c r="X785" t="s">
        <v>9530</v>
      </c>
      <c r="Y785" t="s">
        <v>9531</v>
      </c>
      <c r="Z785" t="s">
        <v>74</v>
      </c>
      <c r="AA785" t="s">
        <v>9532</v>
      </c>
      <c r="AB785" t="s">
        <v>9533</v>
      </c>
      <c r="AC785" t="s">
        <v>74</v>
      </c>
      <c r="AD785" t="s">
        <v>74</v>
      </c>
      <c r="AE785" t="s">
        <v>74</v>
      </c>
      <c r="AF785" t="s">
        <v>74</v>
      </c>
      <c r="AG785">
        <v>31</v>
      </c>
      <c r="AH785">
        <v>10</v>
      </c>
      <c r="AI785">
        <v>12</v>
      </c>
      <c r="AJ785">
        <v>1</v>
      </c>
      <c r="AK785">
        <v>11</v>
      </c>
      <c r="AL785" t="s">
        <v>9534</v>
      </c>
      <c r="AM785" t="s">
        <v>244</v>
      </c>
      <c r="AN785" t="s">
        <v>9535</v>
      </c>
      <c r="AO785" t="s">
        <v>9536</v>
      </c>
      <c r="AP785" t="s">
        <v>74</v>
      </c>
      <c r="AQ785" t="s">
        <v>74</v>
      </c>
      <c r="AR785" t="s">
        <v>9537</v>
      </c>
      <c r="AS785" t="s">
        <v>9538</v>
      </c>
      <c r="AT785" t="s">
        <v>9123</v>
      </c>
      <c r="AU785">
        <v>1997</v>
      </c>
      <c r="AV785">
        <v>29</v>
      </c>
      <c r="AW785">
        <v>7</v>
      </c>
      <c r="AX785" t="s">
        <v>74</v>
      </c>
      <c r="AY785" t="s">
        <v>74</v>
      </c>
      <c r="AZ785" t="s">
        <v>74</v>
      </c>
      <c r="BA785" t="s">
        <v>74</v>
      </c>
      <c r="BB785">
        <v>859</v>
      </c>
      <c r="BC785">
        <v>890</v>
      </c>
      <c r="BD785" t="s">
        <v>74</v>
      </c>
      <c r="BE785" t="s">
        <v>74</v>
      </c>
      <c r="BF785" t="s">
        <v>74</v>
      </c>
      <c r="BG785" t="s">
        <v>74</v>
      </c>
      <c r="BH785" t="s">
        <v>74</v>
      </c>
      <c r="BI785">
        <v>32</v>
      </c>
      <c r="BJ785" t="s">
        <v>9539</v>
      </c>
      <c r="BK785" t="s">
        <v>98</v>
      </c>
      <c r="BL785" t="s">
        <v>9540</v>
      </c>
      <c r="BM785" t="s">
        <v>9541</v>
      </c>
      <c r="BN785" t="s">
        <v>74</v>
      </c>
      <c r="BO785" t="s">
        <v>74</v>
      </c>
      <c r="BP785" t="s">
        <v>74</v>
      </c>
      <c r="BQ785" t="s">
        <v>74</v>
      </c>
      <c r="BR785" t="s">
        <v>101</v>
      </c>
      <c r="BS785" t="s">
        <v>9542</v>
      </c>
      <c r="BT785" t="str">
        <f>HYPERLINK("https%3A%2F%2Fwww.webofscience.com%2Fwos%2Fwoscc%2Ffull-record%2FWOS:A1997YE81100001","View Full Record in Web of Science")</f>
        <v>View Full Record in Web of Science</v>
      </c>
    </row>
    <row r="786" spans="1:72" x14ac:dyDescent="0.15">
      <c r="A786" t="s">
        <v>72</v>
      </c>
      <c r="B786" t="s">
        <v>9543</v>
      </c>
      <c r="C786" t="s">
        <v>74</v>
      </c>
      <c r="D786" t="s">
        <v>74</v>
      </c>
      <c r="E786" t="s">
        <v>74</v>
      </c>
      <c r="F786" t="s">
        <v>9543</v>
      </c>
      <c r="G786" t="s">
        <v>74</v>
      </c>
      <c r="H786" t="s">
        <v>74</v>
      </c>
      <c r="I786" t="s">
        <v>9544</v>
      </c>
      <c r="J786" t="s">
        <v>9545</v>
      </c>
      <c r="K786" t="s">
        <v>74</v>
      </c>
      <c r="L786" t="s">
        <v>74</v>
      </c>
      <c r="M786" t="s">
        <v>77</v>
      </c>
      <c r="N786" t="s">
        <v>78</v>
      </c>
      <c r="O786" t="s">
        <v>74</v>
      </c>
      <c r="P786" t="s">
        <v>74</v>
      </c>
      <c r="Q786" t="s">
        <v>74</v>
      </c>
      <c r="R786" t="s">
        <v>74</v>
      </c>
      <c r="S786" t="s">
        <v>74</v>
      </c>
      <c r="T786" t="s">
        <v>9546</v>
      </c>
      <c r="U786" t="s">
        <v>74</v>
      </c>
      <c r="V786" t="s">
        <v>9547</v>
      </c>
      <c r="W786" t="s">
        <v>74</v>
      </c>
      <c r="X786" t="s">
        <v>74</v>
      </c>
      <c r="Y786" t="s">
        <v>9548</v>
      </c>
      <c r="Z786" t="s">
        <v>74</v>
      </c>
      <c r="AA786" t="s">
        <v>74</v>
      </c>
      <c r="AB786" t="s">
        <v>74</v>
      </c>
      <c r="AC786" t="s">
        <v>74</v>
      </c>
      <c r="AD786" t="s">
        <v>74</v>
      </c>
      <c r="AE786" t="s">
        <v>74</v>
      </c>
      <c r="AF786" t="s">
        <v>74</v>
      </c>
      <c r="AG786">
        <v>19</v>
      </c>
      <c r="AH786">
        <v>8</v>
      </c>
      <c r="AI786">
        <v>9</v>
      </c>
      <c r="AJ786">
        <v>2</v>
      </c>
      <c r="AK786">
        <v>7</v>
      </c>
      <c r="AL786" t="s">
        <v>9549</v>
      </c>
      <c r="AM786" t="s">
        <v>9550</v>
      </c>
      <c r="AN786" t="s">
        <v>9551</v>
      </c>
      <c r="AO786" t="s">
        <v>9552</v>
      </c>
      <c r="AP786" t="s">
        <v>74</v>
      </c>
      <c r="AQ786" t="s">
        <v>74</v>
      </c>
      <c r="AR786" t="s">
        <v>9545</v>
      </c>
      <c r="AS786" t="s">
        <v>9553</v>
      </c>
      <c r="AT786" t="s">
        <v>9123</v>
      </c>
      <c r="AU786">
        <v>1997</v>
      </c>
      <c r="AV786">
        <v>20</v>
      </c>
      <c r="AW786">
        <v>4</v>
      </c>
      <c r="AX786" t="s">
        <v>74</v>
      </c>
      <c r="AY786" t="s">
        <v>74</v>
      </c>
      <c r="AZ786" t="s">
        <v>74</v>
      </c>
      <c r="BA786" t="s">
        <v>74</v>
      </c>
      <c r="BB786">
        <v>371</v>
      </c>
      <c r="BC786">
        <v>376</v>
      </c>
      <c r="BD786" t="s">
        <v>74</v>
      </c>
      <c r="BE786" t="s">
        <v>74</v>
      </c>
      <c r="BF786" t="s">
        <v>74</v>
      </c>
      <c r="BG786" t="s">
        <v>74</v>
      </c>
      <c r="BH786" t="s">
        <v>74</v>
      </c>
      <c r="BI786">
        <v>6</v>
      </c>
      <c r="BJ786" t="s">
        <v>1223</v>
      </c>
      <c r="BK786" t="s">
        <v>98</v>
      </c>
      <c r="BL786" t="s">
        <v>1223</v>
      </c>
      <c r="BM786" t="s">
        <v>9554</v>
      </c>
      <c r="BN786">
        <v>9385610</v>
      </c>
      <c r="BO786" t="s">
        <v>74</v>
      </c>
      <c r="BP786" t="s">
        <v>74</v>
      </c>
      <c r="BQ786" t="s">
        <v>74</v>
      </c>
      <c r="BR786" t="s">
        <v>101</v>
      </c>
      <c r="BS786" t="s">
        <v>9555</v>
      </c>
      <c r="BT786" t="str">
        <f>HYPERLINK("https%3A%2F%2Fwww.webofscience.com%2Fwos%2Fwoscc%2Ffull-record%2FWOS:A1997YF60800013","View Full Record in Web of Science")</f>
        <v>View Full Record in Web of Science</v>
      </c>
    </row>
    <row r="787" spans="1:72" x14ac:dyDescent="0.15">
      <c r="A787" t="s">
        <v>72</v>
      </c>
      <c r="B787" t="s">
        <v>9556</v>
      </c>
      <c r="C787" t="s">
        <v>74</v>
      </c>
      <c r="D787" t="s">
        <v>74</v>
      </c>
      <c r="E787" t="s">
        <v>74</v>
      </c>
      <c r="F787" t="s">
        <v>9556</v>
      </c>
      <c r="G787" t="s">
        <v>74</v>
      </c>
      <c r="H787" t="s">
        <v>74</v>
      </c>
      <c r="I787" t="s">
        <v>9557</v>
      </c>
      <c r="J787" t="s">
        <v>9558</v>
      </c>
      <c r="K787" t="s">
        <v>74</v>
      </c>
      <c r="L787" t="s">
        <v>74</v>
      </c>
      <c r="M787" t="s">
        <v>77</v>
      </c>
      <c r="N787" t="s">
        <v>78</v>
      </c>
      <c r="O787" t="s">
        <v>74</v>
      </c>
      <c r="P787" t="s">
        <v>74</v>
      </c>
      <c r="Q787" t="s">
        <v>74</v>
      </c>
      <c r="R787" t="s">
        <v>74</v>
      </c>
      <c r="S787" t="s">
        <v>74</v>
      </c>
      <c r="T787" t="s">
        <v>9559</v>
      </c>
      <c r="U787" t="s">
        <v>9560</v>
      </c>
      <c r="V787" t="s">
        <v>9561</v>
      </c>
      <c r="W787" t="s">
        <v>9562</v>
      </c>
      <c r="X787" t="s">
        <v>9563</v>
      </c>
      <c r="Y787" t="s">
        <v>9564</v>
      </c>
      <c r="Z787" t="s">
        <v>74</v>
      </c>
      <c r="AA787" t="s">
        <v>74</v>
      </c>
      <c r="AB787" t="s">
        <v>74</v>
      </c>
      <c r="AC787" t="s">
        <v>74</v>
      </c>
      <c r="AD787" t="s">
        <v>74</v>
      </c>
      <c r="AE787" t="s">
        <v>74</v>
      </c>
      <c r="AF787" t="s">
        <v>74</v>
      </c>
      <c r="AG787">
        <v>44</v>
      </c>
      <c r="AH787">
        <v>39</v>
      </c>
      <c r="AI787">
        <v>41</v>
      </c>
      <c r="AJ787">
        <v>2</v>
      </c>
      <c r="AK787">
        <v>23</v>
      </c>
      <c r="AL787" t="s">
        <v>243</v>
      </c>
      <c r="AM787" t="s">
        <v>244</v>
      </c>
      <c r="AN787" t="s">
        <v>9565</v>
      </c>
      <c r="AO787" t="s">
        <v>9566</v>
      </c>
      <c r="AP787" t="s">
        <v>74</v>
      </c>
      <c r="AQ787" t="s">
        <v>74</v>
      </c>
      <c r="AR787" t="s">
        <v>9567</v>
      </c>
      <c r="AS787" t="s">
        <v>9568</v>
      </c>
      <c r="AT787" t="s">
        <v>9123</v>
      </c>
      <c r="AU787">
        <v>1997</v>
      </c>
      <c r="AV787">
        <v>137</v>
      </c>
      <c r="AW787">
        <v>2</v>
      </c>
      <c r="AX787" t="s">
        <v>74</v>
      </c>
      <c r="AY787" t="s">
        <v>74</v>
      </c>
      <c r="AZ787" t="s">
        <v>74</v>
      </c>
      <c r="BA787" t="s">
        <v>74</v>
      </c>
      <c r="BB787">
        <v>231</v>
      </c>
      <c r="BC787">
        <v>240</v>
      </c>
      <c r="BD787" t="s">
        <v>74</v>
      </c>
      <c r="BE787" t="s">
        <v>9569</v>
      </c>
      <c r="BF787" t="str">
        <f>HYPERLINK("http://dx.doi.org/10.1046/j.1469-8137.1997.00805.x","http://dx.doi.org/10.1046/j.1469-8137.1997.00805.x")</f>
        <v>http://dx.doi.org/10.1046/j.1469-8137.1997.00805.x</v>
      </c>
      <c r="BG787" t="s">
        <v>74</v>
      </c>
      <c r="BH787" t="s">
        <v>74</v>
      </c>
      <c r="BI787">
        <v>10</v>
      </c>
      <c r="BJ787" t="s">
        <v>2721</v>
      </c>
      <c r="BK787" t="s">
        <v>98</v>
      </c>
      <c r="BL787" t="s">
        <v>2721</v>
      </c>
      <c r="BM787" t="s">
        <v>9570</v>
      </c>
      <c r="BN787">
        <v>33863176</v>
      </c>
      <c r="BO787" t="s">
        <v>100</v>
      </c>
      <c r="BP787" t="s">
        <v>74</v>
      </c>
      <c r="BQ787" t="s">
        <v>74</v>
      </c>
      <c r="BR787" t="s">
        <v>101</v>
      </c>
      <c r="BS787" t="s">
        <v>9571</v>
      </c>
      <c r="BT787" t="str">
        <f>HYPERLINK("https%3A%2F%2Fwww.webofscience.com%2Fwos%2Fwoscc%2Ffull-record%2FWOS:A1997YG09900005","View Full Record in Web of Science")</f>
        <v>View Full Record in Web of Science</v>
      </c>
    </row>
    <row r="788" spans="1:72" x14ac:dyDescent="0.15">
      <c r="A788" t="s">
        <v>72</v>
      </c>
      <c r="B788" t="s">
        <v>9572</v>
      </c>
      <c r="C788" t="s">
        <v>74</v>
      </c>
      <c r="D788" t="s">
        <v>74</v>
      </c>
      <c r="E788" t="s">
        <v>74</v>
      </c>
      <c r="F788" t="s">
        <v>9572</v>
      </c>
      <c r="G788" t="s">
        <v>74</v>
      </c>
      <c r="H788" t="s">
        <v>74</v>
      </c>
      <c r="I788" t="s">
        <v>9573</v>
      </c>
      <c r="J788" t="s">
        <v>9558</v>
      </c>
      <c r="K788" t="s">
        <v>74</v>
      </c>
      <c r="L788" t="s">
        <v>74</v>
      </c>
      <c r="M788" t="s">
        <v>77</v>
      </c>
      <c r="N788" t="s">
        <v>78</v>
      </c>
      <c r="O788" t="s">
        <v>74</v>
      </c>
      <c r="P788" t="s">
        <v>74</v>
      </c>
      <c r="Q788" t="s">
        <v>74</v>
      </c>
      <c r="R788" t="s">
        <v>74</v>
      </c>
      <c r="S788" t="s">
        <v>74</v>
      </c>
      <c r="T788" t="s">
        <v>9574</v>
      </c>
      <c r="U788" t="s">
        <v>8060</v>
      </c>
      <c r="V788" t="s">
        <v>9575</v>
      </c>
      <c r="W788" t="s">
        <v>9576</v>
      </c>
      <c r="X788" t="s">
        <v>672</v>
      </c>
      <c r="Y788" t="s">
        <v>9577</v>
      </c>
      <c r="Z788" t="s">
        <v>74</v>
      </c>
      <c r="AA788" t="s">
        <v>9578</v>
      </c>
      <c r="AB788" t="s">
        <v>9579</v>
      </c>
      <c r="AC788" t="s">
        <v>74</v>
      </c>
      <c r="AD788" t="s">
        <v>74</v>
      </c>
      <c r="AE788" t="s">
        <v>74</v>
      </c>
      <c r="AF788" t="s">
        <v>74</v>
      </c>
      <c r="AG788">
        <v>16</v>
      </c>
      <c r="AH788">
        <v>3</v>
      </c>
      <c r="AI788">
        <v>3</v>
      </c>
      <c r="AJ788">
        <v>0</v>
      </c>
      <c r="AK788">
        <v>6</v>
      </c>
      <c r="AL788" t="s">
        <v>243</v>
      </c>
      <c r="AM788" t="s">
        <v>244</v>
      </c>
      <c r="AN788" t="s">
        <v>9565</v>
      </c>
      <c r="AO788" t="s">
        <v>9566</v>
      </c>
      <c r="AP788" t="s">
        <v>74</v>
      </c>
      <c r="AQ788" t="s">
        <v>74</v>
      </c>
      <c r="AR788" t="s">
        <v>9567</v>
      </c>
      <c r="AS788" t="s">
        <v>9568</v>
      </c>
      <c r="AT788" t="s">
        <v>9123</v>
      </c>
      <c r="AU788">
        <v>1997</v>
      </c>
      <c r="AV788">
        <v>137</v>
      </c>
      <c r="AW788">
        <v>2</v>
      </c>
      <c r="AX788" t="s">
        <v>74</v>
      </c>
      <c r="AY788" t="s">
        <v>74</v>
      </c>
      <c r="AZ788" t="s">
        <v>74</v>
      </c>
      <c r="BA788" t="s">
        <v>74</v>
      </c>
      <c r="BB788">
        <v>241</v>
      </c>
      <c r="BC788">
        <v>246</v>
      </c>
      <c r="BD788" t="s">
        <v>74</v>
      </c>
      <c r="BE788" t="s">
        <v>9580</v>
      </c>
      <c r="BF788" t="str">
        <f>HYPERLINK("http://dx.doi.org/10.1046/j.1469-8137.1997.00785.x","http://dx.doi.org/10.1046/j.1469-8137.1997.00785.x")</f>
        <v>http://dx.doi.org/10.1046/j.1469-8137.1997.00785.x</v>
      </c>
      <c r="BG788" t="s">
        <v>74</v>
      </c>
      <c r="BH788" t="s">
        <v>74</v>
      </c>
      <c r="BI788">
        <v>6</v>
      </c>
      <c r="BJ788" t="s">
        <v>2721</v>
      </c>
      <c r="BK788" t="s">
        <v>98</v>
      </c>
      <c r="BL788" t="s">
        <v>2721</v>
      </c>
      <c r="BM788" t="s">
        <v>9570</v>
      </c>
      <c r="BN788">
        <v>33863185</v>
      </c>
      <c r="BO788" t="s">
        <v>100</v>
      </c>
      <c r="BP788" t="s">
        <v>74</v>
      </c>
      <c r="BQ788" t="s">
        <v>74</v>
      </c>
      <c r="BR788" t="s">
        <v>101</v>
      </c>
      <c r="BS788" t="s">
        <v>9581</v>
      </c>
      <c r="BT788" t="str">
        <f>HYPERLINK("https%3A%2F%2Fwww.webofscience.com%2Fwos%2Fwoscc%2Ffull-record%2FWOS:A1997YG09900006","View Full Record in Web of Science")</f>
        <v>View Full Record in Web of Science</v>
      </c>
    </row>
    <row r="789" spans="1:72" x14ac:dyDescent="0.15">
      <c r="A789" t="s">
        <v>72</v>
      </c>
      <c r="B789" t="s">
        <v>9582</v>
      </c>
      <c r="C789" t="s">
        <v>74</v>
      </c>
      <c r="D789" t="s">
        <v>74</v>
      </c>
      <c r="E789" t="s">
        <v>74</v>
      </c>
      <c r="F789" t="s">
        <v>9582</v>
      </c>
      <c r="G789" t="s">
        <v>74</v>
      </c>
      <c r="H789" t="s">
        <v>74</v>
      </c>
      <c r="I789" t="s">
        <v>9583</v>
      </c>
      <c r="J789" t="s">
        <v>888</v>
      </c>
      <c r="K789" t="s">
        <v>74</v>
      </c>
      <c r="L789" t="s">
        <v>74</v>
      </c>
      <c r="M789" t="s">
        <v>77</v>
      </c>
      <c r="N789" t="s">
        <v>78</v>
      </c>
      <c r="O789" t="s">
        <v>74</v>
      </c>
      <c r="P789" t="s">
        <v>74</v>
      </c>
      <c r="Q789" t="s">
        <v>74</v>
      </c>
      <c r="R789" t="s">
        <v>74</v>
      </c>
      <c r="S789" t="s">
        <v>74</v>
      </c>
      <c r="T789" t="s">
        <v>74</v>
      </c>
      <c r="U789" t="s">
        <v>9584</v>
      </c>
      <c r="V789" t="s">
        <v>9585</v>
      </c>
      <c r="W789" t="s">
        <v>9586</v>
      </c>
      <c r="X789" t="s">
        <v>322</v>
      </c>
      <c r="Y789" t="s">
        <v>74</v>
      </c>
      <c r="Z789" t="s">
        <v>74</v>
      </c>
      <c r="AA789" t="s">
        <v>9587</v>
      </c>
      <c r="AB789" t="s">
        <v>9588</v>
      </c>
      <c r="AC789" t="s">
        <v>74</v>
      </c>
      <c r="AD789" t="s">
        <v>74</v>
      </c>
      <c r="AE789" t="s">
        <v>74</v>
      </c>
      <c r="AF789" t="s">
        <v>74</v>
      </c>
      <c r="AG789">
        <v>25</v>
      </c>
      <c r="AH789">
        <v>21</v>
      </c>
      <c r="AI789">
        <v>23</v>
      </c>
      <c r="AJ789">
        <v>0</v>
      </c>
      <c r="AK789">
        <v>3</v>
      </c>
      <c r="AL789" t="s">
        <v>897</v>
      </c>
      <c r="AM789" t="s">
        <v>244</v>
      </c>
      <c r="AN789" t="s">
        <v>7783</v>
      </c>
      <c r="AO789" t="s">
        <v>899</v>
      </c>
      <c r="AP789" t="s">
        <v>74</v>
      </c>
      <c r="AQ789" t="s">
        <v>74</v>
      </c>
      <c r="AR789" t="s">
        <v>900</v>
      </c>
      <c r="AS789" t="s">
        <v>901</v>
      </c>
      <c r="AT789" t="s">
        <v>9123</v>
      </c>
      <c r="AU789">
        <v>1997</v>
      </c>
      <c r="AV789">
        <v>18</v>
      </c>
      <c r="AW789">
        <v>4</v>
      </c>
      <c r="AX789" t="s">
        <v>74</v>
      </c>
      <c r="AY789" t="s">
        <v>74</v>
      </c>
      <c r="AZ789" t="s">
        <v>74</v>
      </c>
      <c r="BA789" t="s">
        <v>74</v>
      </c>
      <c r="BB789">
        <v>229</v>
      </c>
      <c r="BC789">
        <v>235</v>
      </c>
      <c r="BD789" t="s">
        <v>74</v>
      </c>
      <c r="BE789" t="s">
        <v>9589</v>
      </c>
      <c r="BF789" t="str">
        <f>HYPERLINK("http://dx.doi.org/10.1007/s003000050182","http://dx.doi.org/10.1007/s003000050182")</f>
        <v>http://dx.doi.org/10.1007/s003000050182</v>
      </c>
      <c r="BG789" t="s">
        <v>74</v>
      </c>
      <c r="BH789" t="s">
        <v>74</v>
      </c>
      <c r="BI789">
        <v>7</v>
      </c>
      <c r="BJ789" t="s">
        <v>903</v>
      </c>
      <c r="BK789" t="s">
        <v>98</v>
      </c>
      <c r="BL789" t="s">
        <v>904</v>
      </c>
      <c r="BM789" t="s">
        <v>9590</v>
      </c>
      <c r="BN789" t="s">
        <v>74</v>
      </c>
      <c r="BO789" t="s">
        <v>74</v>
      </c>
      <c r="BP789" t="s">
        <v>74</v>
      </c>
      <c r="BQ789" t="s">
        <v>74</v>
      </c>
      <c r="BR789" t="s">
        <v>101</v>
      </c>
      <c r="BS789" t="s">
        <v>9591</v>
      </c>
      <c r="BT789" t="str">
        <f>HYPERLINK("https%3A%2F%2Fwww.webofscience.com%2Fwos%2Fwoscc%2Ffull-record%2FWOS:A1997XW98700001","View Full Record in Web of Science")</f>
        <v>View Full Record in Web of Science</v>
      </c>
    </row>
    <row r="790" spans="1:72" x14ac:dyDescent="0.15">
      <c r="A790" t="s">
        <v>72</v>
      </c>
      <c r="B790" t="s">
        <v>9592</v>
      </c>
      <c r="C790" t="s">
        <v>74</v>
      </c>
      <c r="D790" t="s">
        <v>74</v>
      </c>
      <c r="E790" t="s">
        <v>74</v>
      </c>
      <c r="F790" t="s">
        <v>9592</v>
      </c>
      <c r="G790" t="s">
        <v>74</v>
      </c>
      <c r="H790" t="s">
        <v>74</v>
      </c>
      <c r="I790" t="s">
        <v>9593</v>
      </c>
      <c r="J790" t="s">
        <v>888</v>
      </c>
      <c r="K790" t="s">
        <v>74</v>
      </c>
      <c r="L790" t="s">
        <v>74</v>
      </c>
      <c r="M790" t="s">
        <v>77</v>
      </c>
      <c r="N790" t="s">
        <v>78</v>
      </c>
      <c r="O790" t="s">
        <v>74</v>
      </c>
      <c r="P790" t="s">
        <v>74</v>
      </c>
      <c r="Q790" t="s">
        <v>74</v>
      </c>
      <c r="R790" t="s">
        <v>74</v>
      </c>
      <c r="S790" t="s">
        <v>74</v>
      </c>
      <c r="T790" t="s">
        <v>74</v>
      </c>
      <c r="U790" t="s">
        <v>9594</v>
      </c>
      <c r="V790" t="s">
        <v>9595</v>
      </c>
      <c r="W790" t="s">
        <v>9596</v>
      </c>
      <c r="X790" t="s">
        <v>74</v>
      </c>
      <c r="Y790" t="s">
        <v>9597</v>
      </c>
      <c r="Z790" t="s">
        <v>74</v>
      </c>
      <c r="AA790" t="s">
        <v>74</v>
      </c>
      <c r="AB790" t="s">
        <v>74</v>
      </c>
      <c r="AC790" t="s">
        <v>74</v>
      </c>
      <c r="AD790" t="s">
        <v>74</v>
      </c>
      <c r="AE790" t="s">
        <v>74</v>
      </c>
      <c r="AF790" t="s">
        <v>74</v>
      </c>
      <c r="AG790">
        <v>18</v>
      </c>
      <c r="AH790">
        <v>13</v>
      </c>
      <c r="AI790">
        <v>14</v>
      </c>
      <c r="AJ790">
        <v>0</v>
      </c>
      <c r="AK790">
        <v>12</v>
      </c>
      <c r="AL790" t="s">
        <v>897</v>
      </c>
      <c r="AM790" t="s">
        <v>244</v>
      </c>
      <c r="AN790" t="s">
        <v>7783</v>
      </c>
      <c r="AO790" t="s">
        <v>899</v>
      </c>
      <c r="AP790" t="s">
        <v>74</v>
      </c>
      <c r="AQ790" t="s">
        <v>74</v>
      </c>
      <c r="AR790" t="s">
        <v>900</v>
      </c>
      <c r="AS790" t="s">
        <v>901</v>
      </c>
      <c r="AT790" t="s">
        <v>9123</v>
      </c>
      <c r="AU790">
        <v>1997</v>
      </c>
      <c r="AV790">
        <v>18</v>
      </c>
      <c r="AW790">
        <v>4</v>
      </c>
      <c r="AX790" t="s">
        <v>74</v>
      </c>
      <c r="AY790" t="s">
        <v>74</v>
      </c>
      <c r="AZ790" t="s">
        <v>74</v>
      </c>
      <c r="BA790" t="s">
        <v>74</v>
      </c>
      <c r="BB790">
        <v>236</v>
      </c>
      <c r="BC790">
        <v>239</v>
      </c>
      <c r="BD790" t="s">
        <v>74</v>
      </c>
      <c r="BE790" t="s">
        <v>9598</v>
      </c>
      <c r="BF790" t="str">
        <f>HYPERLINK("http://dx.doi.org/10.1007/s003000050183","http://dx.doi.org/10.1007/s003000050183")</f>
        <v>http://dx.doi.org/10.1007/s003000050183</v>
      </c>
      <c r="BG790" t="s">
        <v>74</v>
      </c>
      <c r="BH790" t="s">
        <v>74</v>
      </c>
      <c r="BI790">
        <v>4</v>
      </c>
      <c r="BJ790" t="s">
        <v>903</v>
      </c>
      <c r="BK790" t="s">
        <v>98</v>
      </c>
      <c r="BL790" t="s">
        <v>904</v>
      </c>
      <c r="BM790" t="s">
        <v>9590</v>
      </c>
      <c r="BN790" t="s">
        <v>74</v>
      </c>
      <c r="BO790" t="s">
        <v>74</v>
      </c>
      <c r="BP790" t="s">
        <v>74</v>
      </c>
      <c r="BQ790" t="s">
        <v>74</v>
      </c>
      <c r="BR790" t="s">
        <v>101</v>
      </c>
      <c r="BS790" t="s">
        <v>9599</v>
      </c>
      <c r="BT790" t="str">
        <f>HYPERLINK("https%3A%2F%2Fwww.webofscience.com%2Fwos%2Fwoscc%2Ffull-record%2FWOS:A1997XW98700002","View Full Record in Web of Science")</f>
        <v>View Full Record in Web of Science</v>
      </c>
    </row>
    <row r="791" spans="1:72" x14ac:dyDescent="0.15">
      <c r="A791" t="s">
        <v>72</v>
      </c>
      <c r="B791" t="s">
        <v>9600</v>
      </c>
      <c r="C791" t="s">
        <v>74</v>
      </c>
      <c r="D791" t="s">
        <v>74</v>
      </c>
      <c r="E791" t="s">
        <v>74</v>
      </c>
      <c r="F791" t="s">
        <v>9600</v>
      </c>
      <c r="G791" t="s">
        <v>74</v>
      </c>
      <c r="H791" t="s">
        <v>74</v>
      </c>
      <c r="I791" t="s">
        <v>9601</v>
      </c>
      <c r="J791" t="s">
        <v>888</v>
      </c>
      <c r="K791" t="s">
        <v>74</v>
      </c>
      <c r="L791" t="s">
        <v>74</v>
      </c>
      <c r="M791" t="s">
        <v>77</v>
      </c>
      <c r="N791" t="s">
        <v>78</v>
      </c>
      <c r="O791" t="s">
        <v>74</v>
      </c>
      <c r="P791" t="s">
        <v>74</v>
      </c>
      <c r="Q791" t="s">
        <v>74</v>
      </c>
      <c r="R791" t="s">
        <v>74</v>
      </c>
      <c r="S791" t="s">
        <v>74</v>
      </c>
      <c r="T791" t="s">
        <v>74</v>
      </c>
      <c r="U791" t="s">
        <v>9602</v>
      </c>
      <c r="V791" t="s">
        <v>9603</v>
      </c>
      <c r="W791" t="s">
        <v>9604</v>
      </c>
      <c r="X791" t="s">
        <v>9605</v>
      </c>
      <c r="Y791" t="s">
        <v>74</v>
      </c>
      <c r="Z791" t="s">
        <v>74</v>
      </c>
      <c r="AA791" t="s">
        <v>74</v>
      </c>
      <c r="AB791" t="s">
        <v>74</v>
      </c>
      <c r="AC791" t="s">
        <v>74</v>
      </c>
      <c r="AD791" t="s">
        <v>74</v>
      </c>
      <c r="AE791" t="s">
        <v>74</v>
      </c>
      <c r="AF791" t="s">
        <v>74</v>
      </c>
      <c r="AG791">
        <v>50</v>
      </c>
      <c r="AH791">
        <v>11</v>
      </c>
      <c r="AI791">
        <v>12</v>
      </c>
      <c r="AJ791">
        <v>0</v>
      </c>
      <c r="AK791">
        <v>7</v>
      </c>
      <c r="AL791" t="s">
        <v>897</v>
      </c>
      <c r="AM791" t="s">
        <v>244</v>
      </c>
      <c r="AN791" t="s">
        <v>7783</v>
      </c>
      <c r="AO791" t="s">
        <v>899</v>
      </c>
      <c r="AP791" t="s">
        <v>74</v>
      </c>
      <c r="AQ791" t="s">
        <v>74</v>
      </c>
      <c r="AR791" t="s">
        <v>900</v>
      </c>
      <c r="AS791" t="s">
        <v>901</v>
      </c>
      <c r="AT791" t="s">
        <v>9123</v>
      </c>
      <c r="AU791">
        <v>1997</v>
      </c>
      <c r="AV791">
        <v>18</v>
      </c>
      <c r="AW791">
        <v>4</v>
      </c>
      <c r="AX791" t="s">
        <v>74</v>
      </c>
      <c r="AY791" t="s">
        <v>74</v>
      </c>
      <c r="AZ791" t="s">
        <v>74</v>
      </c>
      <c r="BA791" t="s">
        <v>74</v>
      </c>
      <c r="BB791">
        <v>260</v>
      </c>
      <c r="BC791">
        <v>272</v>
      </c>
      <c r="BD791" t="s">
        <v>74</v>
      </c>
      <c r="BE791" t="s">
        <v>9606</v>
      </c>
      <c r="BF791" t="str">
        <f>HYPERLINK("http://dx.doi.org/10.1007/s003000050187","http://dx.doi.org/10.1007/s003000050187")</f>
        <v>http://dx.doi.org/10.1007/s003000050187</v>
      </c>
      <c r="BG791" t="s">
        <v>74</v>
      </c>
      <c r="BH791" t="s">
        <v>74</v>
      </c>
      <c r="BI791">
        <v>13</v>
      </c>
      <c r="BJ791" t="s">
        <v>903</v>
      </c>
      <c r="BK791" t="s">
        <v>98</v>
      </c>
      <c r="BL791" t="s">
        <v>904</v>
      </c>
      <c r="BM791" t="s">
        <v>9590</v>
      </c>
      <c r="BN791" t="s">
        <v>74</v>
      </c>
      <c r="BO791" t="s">
        <v>74</v>
      </c>
      <c r="BP791" t="s">
        <v>74</v>
      </c>
      <c r="BQ791" t="s">
        <v>74</v>
      </c>
      <c r="BR791" t="s">
        <v>101</v>
      </c>
      <c r="BS791" t="s">
        <v>9607</v>
      </c>
      <c r="BT791" t="str">
        <f>HYPERLINK("https%3A%2F%2Fwww.webofscience.com%2Fwos%2Fwoscc%2Ffull-record%2FWOS:A1997XW98700006","View Full Record in Web of Science")</f>
        <v>View Full Record in Web of Science</v>
      </c>
    </row>
    <row r="792" spans="1:72" x14ac:dyDescent="0.15">
      <c r="A792" t="s">
        <v>72</v>
      </c>
      <c r="B792" t="s">
        <v>9608</v>
      </c>
      <c r="C792" t="s">
        <v>74</v>
      </c>
      <c r="D792" t="s">
        <v>74</v>
      </c>
      <c r="E792" t="s">
        <v>74</v>
      </c>
      <c r="F792" t="s">
        <v>9608</v>
      </c>
      <c r="G792" t="s">
        <v>74</v>
      </c>
      <c r="H792" t="s">
        <v>74</v>
      </c>
      <c r="I792" t="s">
        <v>9609</v>
      </c>
      <c r="J792" t="s">
        <v>888</v>
      </c>
      <c r="K792" t="s">
        <v>74</v>
      </c>
      <c r="L792" t="s">
        <v>74</v>
      </c>
      <c r="M792" t="s">
        <v>77</v>
      </c>
      <c r="N792" t="s">
        <v>78</v>
      </c>
      <c r="O792" t="s">
        <v>74</v>
      </c>
      <c r="P792" t="s">
        <v>74</v>
      </c>
      <c r="Q792" t="s">
        <v>74</v>
      </c>
      <c r="R792" t="s">
        <v>74</v>
      </c>
      <c r="S792" t="s">
        <v>74</v>
      </c>
      <c r="T792" t="s">
        <v>74</v>
      </c>
      <c r="U792" t="s">
        <v>9610</v>
      </c>
      <c r="V792" t="s">
        <v>9611</v>
      </c>
      <c r="W792" t="s">
        <v>9612</v>
      </c>
      <c r="X792" t="s">
        <v>9613</v>
      </c>
      <c r="Y792" t="s">
        <v>74</v>
      </c>
      <c r="Z792" t="s">
        <v>74</v>
      </c>
      <c r="AA792" t="s">
        <v>9614</v>
      </c>
      <c r="AB792" t="s">
        <v>9615</v>
      </c>
      <c r="AC792" t="s">
        <v>74</v>
      </c>
      <c r="AD792" t="s">
        <v>74</v>
      </c>
      <c r="AE792" t="s">
        <v>74</v>
      </c>
      <c r="AF792" t="s">
        <v>74</v>
      </c>
      <c r="AG792">
        <v>26</v>
      </c>
      <c r="AH792">
        <v>18</v>
      </c>
      <c r="AI792">
        <v>18</v>
      </c>
      <c r="AJ792">
        <v>0</v>
      </c>
      <c r="AK792">
        <v>8</v>
      </c>
      <c r="AL792" t="s">
        <v>897</v>
      </c>
      <c r="AM792" t="s">
        <v>244</v>
      </c>
      <c r="AN792" t="s">
        <v>7783</v>
      </c>
      <c r="AO792" t="s">
        <v>899</v>
      </c>
      <c r="AP792" t="s">
        <v>74</v>
      </c>
      <c r="AQ792" t="s">
        <v>74</v>
      </c>
      <c r="AR792" t="s">
        <v>900</v>
      </c>
      <c r="AS792" t="s">
        <v>901</v>
      </c>
      <c r="AT792" t="s">
        <v>9123</v>
      </c>
      <c r="AU792">
        <v>1997</v>
      </c>
      <c r="AV792">
        <v>18</v>
      </c>
      <c r="AW792">
        <v>4</v>
      </c>
      <c r="AX792" t="s">
        <v>74</v>
      </c>
      <c r="AY792" t="s">
        <v>74</v>
      </c>
      <c r="AZ792" t="s">
        <v>74</v>
      </c>
      <c r="BA792" t="s">
        <v>74</v>
      </c>
      <c r="BB792">
        <v>273</v>
      </c>
      <c r="BC792">
        <v>279</v>
      </c>
      <c r="BD792" t="s">
        <v>74</v>
      </c>
      <c r="BE792" t="s">
        <v>9616</v>
      </c>
      <c r="BF792" t="str">
        <f>HYPERLINK("http://dx.doi.org/10.1007/s003000050188","http://dx.doi.org/10.1007/s003000050188")</f>
        <v>http://dx.doi.org/10.1007/s003000050188</v>
      </c>
      <c r="BG792" t="s">
        <v>74</v>
      </c>
      <c r="BH792" t="s">
        <v>74</v>
      </c>
      <c r="BI792">
        <v>7</v>
      </c>
      <c r="BJ792" t="s">
        <v>903</v>
      </c>
      <c r="BK792" t="s">
        <v>98</v>
      </c>
      <c r="BL792" t="s">
        <v>904</v>
      </c>
      <c r="BM792" t="s">
        <v>9590</v>
      </c>
      <c r="BN792" t="s">
        <v>74</v>
      </c>
      <c r="BO792" t="s">
        <v>74</v>
      </c>
      <c r="BP792" t="s">
        <v>74</v>
      </c>
      <c r="BQ792" t="s">
        <v>74</v>
      </c>
      <c r="BR792" t="s">
        <v>101</v>
      </c>
      <c r="BS792" t="s">
        <v>9617</v>
      </c>
      <c r="BT792" t="str">
        <f>HYPERLINK("https%3A%2F%2Fwww.webofscience.com%2Fwos%2Fwoscc%2Ffull-record%2FWOS:A1997XW98700007","View Full Record in Web of Science")</f>
        <v>View Full Record in Web of Science</v>
      </c>
    </row>
    <row r="793" spans="1:72" x14ac:dyDescent="0.15">
      <c r="A793" t="s">
        <v>72</v>
      </c>
      <c r="B793" t="s">
        <v>9618</v>
      </c>
      <c r="C793" t="s">
        <v>74</v>
      </c>
      <c r="D793" t="s">
        <v>74</v>
      </c>
      <c r="E793" t="s">
        <v>74</v>
      </c>
      <c r="F793" t="s">
        <v>9618</v>
      </c>
      <c r="G793" t="s">
        <v>74</v>
      </c>
      <c r="H793" t="s">
        <v>74</v>
      </c>
      <c r="I793" t="s">
        <v>9619</v>
      </c>
      <c r="J793" t="s">
        <v>888</v>
      </c>
      <c r="K793" t="s">
        <v>74</v>
      </c>
      <c r="L793" t="s">
        <v>74</v>
      </c>
      <c r="M793" t="s">
        <v>77</v>
      </c>
      <c r="N793" t="s">
        <v>78</v>
      </c>
      <c r="O793" t="s">
        <v>74</v>
      </c>
      <c r="P793" t="s">
        <v>74</v>
      </c>
      <c r="Q793" t="s">
        <v>74</v>
      </c>
      <c r="R793" t="s">
        <v>74</v>
      </c>
      <c r="S793" t="s">
        <v>74</v>
      </c>
      <c r="T793" t="s">
        <v>74</v>
      </c>
      <c r="U793" t="s">
        <v>9620</v>
      </c>
      <c r="V793" t="s">
        <v>9621</v>
      </c>
      <c r="W793" t="s">
        <v>9622</v>
      </c>
      <c r="X793" t="s">
        <v>9623</v>
      </c>
      <c r="Y793" t="s">
        <v>74</v>
      </c>
      <c r="Z793" t="s">
        <v>74</v>
      </c>
      <c r="AA793" t="s">
        <v>9624</v>
      </c>
      <c r="AB793" t="s">
        <v>9625</v>
      </c>
      <c r="AC793" t="s">
        <v>74</v>
      </c>
      <c r="AD793" t="s">
        <v>74</v>
      </c>
      <c r="AE793" t="s">
        <v>74</v>
      </c>
      <c r="AF793" t="s">
        <v>74</v>
      </c>
      <c r="AG793">
        <v>83</v>
      </c>
      <c r="AH793">
        <v>10</v>
      </c>
      <c r="AI793">
        <v>11</v>
      </c>
      <c r="AJ793">
        <v>0</v>
      </c>
      <c r="AK793">
        <v>2</v>
      </c>
      <c r="AL793" t="s">
        <v>914</v>
      </c>
      <c r="AM793" t="s">
        <v>244</v>
      </c>
      <c r="AN793" t="s">
        <v>1400</v>
      </c>
      <c r="AO793" t="s">
        <v>899</v>
      </c>
      <c r="AP793" t="s">
        <v>916</v>
      </c>
      <c r="AQ793" t="s">
        <v>74</v>
      </c>
      <c r="AR793" t="s">
        <v>900</v>
      </c>
      <c r="AS793" t="s">
        <v>901</v>
      </c>
      <c r="AT793" t="s">
        <v>9123</v>
      </c>
      <c r="AU793">
        <v>1997</v>
      </c>
      <c r="AV793">
        <v>18</v>
      </c>
      <c r="AW793">
        <v>4</v>
      </c>
      <c r="AX793" t="s">
        <v>74</v>
      </c>
      <c r="AY793" t="s">
        <v>74</v>
      </c>
      <c r="AZ793" t="s">
        <v>74</v>
      </c>
      <c r="BA793" t="s">
        <v>74</v>
      </c>
      <c r="BB793">
        <v>280</v>
      </c>
      <c r="BC793">
        <v>291</v>
      </c>
      <c r="BD793" t="s">
        <v>74</v>
      </c>
      <c r="BE793" t="s">
        <v>9626</v>
      </c>
      <c r="BF793" t="str">
        <f>HYPERLINK("http://dx.doi.org/10.1007/s003000050189","http://dx.doi.org/10.1007/s003000050189")</f>
        <v>http://dx.doi.org/10.1007/s003000050189</v>
      </c>
      <c r="BG793" t="s">
        <v>74</v>
      </c>
      <c r="BH793" t="s">
        <v>74</v>
      </c>
      <c r="BI793">
        <v>12</v>
      </c>
      <c r="BJ793" t="s">
        <v>903</v>
      </c>
      <c r="BK793" t="s">
        <v>98</v>
      </c>
      <c r="BL793" t="s">
        <v>904</v>
      </c>
      <c r="BM793" t="s">
        <v>9590</v>
      </c>
      <c r="BN793" t="s">
        <v>74</v>
      </c>
      <c r="BO793" t="s">
        <v>74</v>
      </c>
      <c r="BP793" t="s">
        <v>74</v>
      </c>
      <c r="BQ793" t="s">
        <v>74</v>
      </c>
      <c r="BR793" t="s">
        <v>101</v>
      </c>
      <c r="BS793" t="s">
        <v>9627</v>
      </c>
      <c r="BT793" t="str">
        <f>HYPERLINK("https%3A%2F%2Fwww.webofscience.com%2Fwos%2Fwoscc%2Ffull-record%2FWOS:A1997XW98700008","View Full Record in Web of Science")</f>
        <v>View Full Record in Web of Science</v>
      </c>
    </row>
    <row r="794" spans="1:72" x14ac:dyDescent="0.15">
      <c r="A794" t="s">
        <v>72</v>
      </c>
      <c r="B794" t="s">
        <v>9628</v>
      </c>
      <c r="C794" t="s">
        <v>74</v>
      </c>
      <c r="D794" t="s">
        <v>74</v>
      </c>
      <c r="E794" t="s">
        <v>74</v>
      </c>
      <c r="F794" t="s">
        <v>9628</v>
      </c>
      <c r="G794" t="s">
        <v>74</v>
      </c>
      <c r="H794" t="s">
        <v>74</v>
      </c>
      <c r="I794" t="s">
        <v>9629</v>
      </c>
      <c r="J794" t="s">
        <v>888</v>
      </c>
      <c r="K794" t="s">
        <v>74</v>
      </c>
      <c r="L794" t="s">
        <v>74</v>
      </c>
      <c r="M794" t="s">
        <v>77</v>
      </c>
      <c r="N794" t="s">
        <v>78</v>
      </c>
      <c r="O794" t="s">
        <v>74</v>
      </c>
      <c r="P794" t="s">
        <v>74</v>
      </c>
      <c r="Q794" t="s">
        <v>74</v>
      </c>
      <c r="R794" t="s">
        <v>74</v>
      </c>
      <c r="S794" t="s">
        <v>74</v>
      </c>
      <c r="T794" t="s">
        <v>74</v>
      </c>
      <c r="U794" t="s">
        <v>9630</v>
      </c>
      <c r="V794" t="s">
        <v>9631</v>
      </c>
      <c r="W794" t="s">
        <v>9632</v>
      </c>
      <c r="X794" t="s">
        <v>9633</v>
      </c>
      <c r="Y794" t="s">
        <v>74</v>
      </c>
      <c r="Z794" t="s">
        <v>74</v>
      </c>
      <c r="AA794" t="s">
        <v>74</v>
      </c>
      <c r="AB794" t="s">
        <v>74</v>
      </c>
      <c r="AC794" t="s">
        <v>74</v>
      </c>
      <c r="AD794" t="s">
        <v>74</v>
      </c>
      <c r="AE794" t="s">
        <v>74</v>
      </c>
      <c r="AF794" t="s">
        <v>74</v>
      </c>
      <c r="AG794">
        <v>11</v>
      </c>
      <c r="AH794">
        <v>3</v>
      </c>
      <c r="AI794">
        <v>4</v>
      </c>
      <c r="AJ794">
        <v>0</v>
      </c>
      <c r="AK794">
        <v>4</v>
      </c>
      <c r="AL794" t="s">
        <v>897</v>
      </c>
      <c r="AM794" t="s">
        <v>244</v>
      </c>
      <c r="AN794" t="s">
        <v>7783</v>
      </c>
      <c r="AO794" t="s">
        <v>899</v>
      </c>
      <c r="AP794" t="s">
        <v>74</v>
      </c>
      <c r="AQ794" t="s">
        <v>74</v>
      </c>
      <c r="AR794" t="s">
        <v>900</v>
      </c>
      <c r="AS794" t="s">
        <v>901</v>
      </c>
      <c r="AT794" t="s">
        <v>9123</v>
      </c>
      <c r="AU794">
        <v>1997</v>
      </c>
      <c r="AV794">
        <v>18</v>
      </c>
      <c r="AW794">
        <v>4</v>
      </c>
      <c r="AX794" t="s">
        <v>74</v>
      </c>
      <c r="AY794" t="s">
        <v>74</v>
      </c>
      <c r="AZ794" t="s">
        <v>74</v>
      </c>
      <c r="BA794" t="s">
        <v>74</v>
      </c>
      <c r="BB794">
        <v>292</v>
      </c>
      <c r="BC794">
        <v>294</v>
      </c>
      <c r="BD794" t="s">
        <v>74</v>
      </c>
      <c r="BE794" t="s">
        <v>9634</v>
      </c>
      <c r="BF794" t="str">
        <f>HYPERLINK("http://dx.doi.org/10.1007/s003000050190","http://dx.doi.org/10.1007/s003000050190")</f>
        <v>http://dx.doi.org/10.1007/s003000050190</v>
      </c>
      <c r="BG794" t="s">
        <v>74</v>
      </c>
      <c r="BH794" t="s">
        <v>74</v>
      </c>
      <c r="BI794">
        <v>3</v>
      </c>
      <c r="BJ794" t="s">
        <v>903</v>
      </c>
      <c r="BK794" t="s">
        <v>98</v>
      </c>
      <c r="BL794" t="s">
        <v>904</v>
      </c>
      <c r="BM794" t="s">
        <v>9590</v>
      </c>
      <c r="BN794" t="s">
        <v>74</v>
      </c>
      <c r="BO794" t="s">
        <v>74</v>
      </c>
      <c r="BP794" t="s">
        <v>74</v>
      </c>
      <c r="BQ794" t="s">
        <v>74</v>
      </c>
      <c r="BR794" t="s">
        <v>101</v>
      </c>
      <c r="BS794" t="s">
        <v>9635</v>
      </c>
      <c r="BT794" t="str">
        <f>HYPERLINK("https%3A%2F%2Fwww.webofscience.com%2Fwos%2Fwoscc%2Ffull-record%2FWOS:A1997XW98700009","View Full Record in Web of Science")</f>
        <v>View Full Record in Web of Science</v>
      </c>
    </row>
    <row r="795" spans="1:72" x14ac:dyDescent="0.15">
      <c r="A795" t="s">
        <v>72</v>
      </c>
      <c r="B795" t="s">
        <v>9636</v>
      </c>
      <c r="C795" t="s">
        <v>74</v>
      </c>
      <c r="D795" t="s">
        <v>74</v>
      </c>
      <c r="E795" t="s">
        <v>74</v>
      </c>
      <c r="F795" t="s">
        <v>9636</v>
      </c>
      <c r="G795" t="s">
        <v>74</v>
      </c>
      <c r="H795" t="s">
        <v>74</v>
      </c>
      <c r="I795" t="s">
        <v>9637</v>
      </c>
      <c r="J795" t="s">
        <v>9638</v>
      </c>
      <c r="K795" t="s">
        <v>74</v>
      </c>
      <c r="L795" t="s">
        <v>74</v>
      </c>
      <c r="M795" t="s">
        <v>77</v>
      </c>
      <c r="N795" t="s">
        <v>78</v>
      </c>
      <c r="O795" t="s">
        <v>74</v>
      </c>
      <c r="P795" t="s">
        <v>74</v>
      </c>
      <c r="Q795" t="s">
        <v>74</v>
      </c>
      <c r="R795" t="s">
        <v>74</v>
      </c>
      <c r="S795" t="s">
        <v>74</v>
      </c>
      <c r="T795" t="s">
        <v>9639</v>
      </c>
      <c r="U795" t="s">
        <v>9640</v>
      </c>
      <c r="V795" t="s">
        <v>9641</v>
      </c>
      <c r="W795" t="s">
        <v>9642</v>
      </c>
      <c r="X795" t="s">
        <v>9643</v>
      </c>
      <c r="Y795" t="s">
        <v>74</v>
      </c>
      <c r="Z795" t="s">
        <v>74</v>
      </c>
      <c r="AA795" t="s">
        <v>9644</v>
      </c>
      <c r="AB795" t="s">
        <v>74</v>
      </c>
      <c r="AC795" t="s">
        <v>74</v>
      </c>
      <c r="AD795" t="s">
        <v>74</v>
      </c>
      <c r="AE795" t="s">
        <v>74</v>
      </c>
      <c r="AF795" t="s">
        <v>74</v>
      </c>
      <c r="AG795">
        <v>44</v>
      </c>
      <c r="AH795">
        <v>29</v>
      </c>
      <c r="AI795">
        <v>34</v>
      </c>
      <c r="AJ795">
        <v>0</v>
      </c>
      <c r="AK795">
        <v>5</v>
      </c>
      <c r="AL795" t="s">
        <v>812</v>
      </c>
      <c r="AM795" t="s">
        <v>826</v>
      </c>
      <c r="AN795" t="s">
        <v>827</v>
      </c>
      <c r="AO795" t="s">
        <v>9645</v>
      </c>
      <c r="AP795" t="s">
        <v>9646</v>
      </c>
      <c r="AQ795" t="s">
        <v>74</v>
      </c>
      <c r="AR795" t="s">
        <v>9647</v>
      </c>
      <c r="AS795" t="s">
        <v>9648</v>
      </c>
      <c r="AT795" t="s">
        <v>9123</v>
      </c>
      <c r="AU795">
        <v>1997</v>
      </c>
      <c r="AV795">
        <v>123</v>
      </c>
      <c r="AW795">
        <v>543</v>
      </c>
      <c r="AX795" t="s">
        <v>9649</v>
      </c>
      <c r="AY795" t="s">
        <v>74</v>
      </c>
      <c r="AZ795" t="s">
        <v>74</v>
      </c>
      <c r="BA795" t="s">
        <v>74</v>
      </c>
      <c r="BB795">
        <v>2069</v>
      </c>
      <c r="BC795">
        <v>2094</v>
      </c>
      <c r="BD795" t="s">
        <v>74</v>
      </c>
      <c r="BE795" t="s">
        <v>9650</v>
      </c>
      <c r="BF795" t="str">
        <f>HYPERLINK("http://dx.doi.org/10.1002/qj.49712354314","http://dx.doi.org/10.1002/qj.49712354314")</f>
        <v>http://dx.doi.org/10.1002/qj.49712354314</v>
      </c>
      <c r="BG795" t="s">
        <v>74</v>
      </c>
      <c r="BH795" t="s">
        <v>74</v>
      </c>
      <c r="BI795">
        <v>26</v>
      </c>
      <c r="BJ795" t="s">
        <v>635</v>
      </c>
      <c r="BK795" t="s">
        <v>98</v>
      </c>
      <c r="BL795" t="s">
        <v>635</v>
      </c>
      <c r="BM795" t="s">
        <v>9651</v>
      </c>
      <c r="BN795" t="s">
        <v>74</v>
      </c>
      <c r="BO795" t="s">
        <v>74</v>
      </c>
      <c r="BP795" t="s">
        <v>74</v>
      </c>
      <c r="BQ795" t="s">
        <v>74</v>
      </c>
      <c r="BR795" t="s">
        <v>101</v>
      </c>
      <c r="BS795" t="s">
        <v>9652</v>
      </c>
      <c r="BT795" t="str">
        <f>HYPERLINK("https%3A%2F%2Fwww.webofscience.com%2Fwos%2Fwoscc%2Ffull-record%2FWOS:A1997YC80000013","View Full Record in Web of Science")</f>
        <v>View Full Record in Web of Science</v>
      </c>
    </row>
    <row r="796" spans="1:72" x14ac:dyDescent="0.15">
      <c r="A796" t="s">
        <v>72</v>
      </c>
      <c r="B796" t="s">
        <v>9653</v>
      </c>
      <c r="C796" t="s">
        <v>74</v>
      </c>
      <c r="D796" t="s">
        <v>74</v>
      </c>
      <c r="E796" t="s">
        <v>74</v>
      </c>
      <c r="F796" t="s">
        <v>9653</v>
      </c>
      <c r="G796" t="s">
        <v>74</v>
      </c>
      <c r="H796" t="s">
        <v>74</v>
      </c>
      <c r="I796" t="s">
        <v>9654</v>
      </c>
      <c r="J796" t="s">
        <v>9655</v>
      </c>
      <c r="K796" t="s">
        <v>74</v>
      </c>
      <c r="L796" t="s">
        <v>74</v>
      </c>
      <c r="M796" t="s">
        <v>77</v>
      </c>
      <c r="N796" t="s">
        <v>78</v>
      </c>
      <c r="O796" t="s">
        <v>74</v>
      </c>
      <c r="P796" t="s">
        <v>74</v>
      </c>
      <c r="Q796" t="s">
        <v>74</v>
      </c>
      <c r="R796" t="s">
        <v>74</v>
      </c>
      <c r="S796" t="s">
        <v>74</v>
      </c>
      <c r="T796" t="s">
        <v>74</v>
      </c>
      <c r="U796" t="s">
        <v>9656</v>
      </c>
      <c r="V796" t="s">
        <v>9657</v>
      </c>
      <c r="W796" t="s">
        <v>9658</v>
      </c>
      <c r="X796" t="s">
        <v>1112</v>
      </c>
      <c r="Y796" t="s">
        <v>9659</v>
      </c>
      <c r="Z796" t="s">
        <v>74</v>
      </c>
      <c r="AA796" t="s">
        <v>74</v>
      </c>
      <c r="AB796" t="s">
        <v>74</v>
      </c>
      <c r="AC796" t="s">
        <v>74</v>
      </c>
      <c r="AD796" t="s">
        <v>74</v>
      </c>
      <c r="AE796" t="s">
        <v>74</v>
      </c>
      <c r="AF796" t="s">
        <v>74</v>
      </c>
      <c r="AG796">
        <v>26</v>
      </c>
      <c r="AH796">
        <v>23</v>
      </c>
      <c r="AI796">
        <v>25</v>
      </c>
      <c r="AJ796">
        <v>1</v>
      </c>
      <c r="AK796">
        <v>8</v>
      </c>
      <c r="AL796" t="s">
        <v>4047</v>
      </c>
      <c r="AM796" t="s">
        <v>244</v>
      </c>
      <c r="AN796" t="s">
        <v>9660</v>
      </c>
      <c r="AO796" t="s">
        <v>9661</v>
      </c>
      <c r="AP796" t="s">
        <v>74</v>
      </c>
      <c r="AQ796" t="s">
        <v>74</v>
      </c>
      <c r="AR796" t="s">
        <v>9662</v>
      </c>
      <c r="AS796" t="s">
        <v>9663</v>
      </c>
      <c r="AT796" t="s">
        <v>9123</v>
      </c>
      <c r="AU796">
        <v>1997</v>
      </c>
      <c r="AV796">
        <v>62</v>
      </c>
      <c r="AW796">
        <v>1</v>
      </c>
      <c r="AX796" t="s">
        <v>74</v>
      </c>
      <c r="AY796" t="s">
        <v>74</v>
      </c>
      <c r="AZ796" t="s">
        <v>74</v>
      </c>
      <c r="BA796" t="s">
        <v>74</v>
      </c>
      <c r="BB796">
        <v>63</v>
      </c>
      <c r="BC796">
        <v>76</v>
      </c>
      <c r="BD796" t="s">
        <v>74</v>
      </c>
      <c r="BE796" t="s">
        <v>9664</v>
      </c>
      <c r="BF796" t="str">
        <f>HYPERLINK("http://dx.doi.org/10.1016/S0034-4257(97)00081-3","http://dx.doi.org/10.1016/S0034-4257(97)00081-3")</f>
        <v>http://dx.doi.org/10.1016/S0034-4257(97)00081-3</v>
      </c>
      <c r="BG796" t="s">
        <v>74</v>
      </c>
      <c r="BH796" t="s">
        <v>74</v>
      </c>
      <c r="BI796">
        <v>14</v>
      </c>
      <c r="BJ796" t="s">
        <v>9665</v>
      </c>
      <c r="BK796" t="s">
        <v>98</v>
      </c>
      <c r="BL796" t="s">
        <v>9666</v>
      </c>
      <c r="BM796" t="s">
        <v>9667</v>
      </c>
      <c r="BN796" t="s">
        <v>74</v>
      </c>
      <c r="BO796" t="s">
        <v>74</v>
      </c>
      <c r="BP796" t="s">
        <v>74</v>
      </c>
      <c r="BQ796" t="s">
        <v>74</v>
      </c>
      <c r="BR796" t="s">
        <v>101</v>
      </c>
      <c r="BS796" t="s">
        <v>9668</v>
      </c>
      <c r="BT796" t="str">
        <f>HYPERLINK("https%3A%2F%2Fwww.webofscience.com%2Fwos%2Fwoscc%2Ffull-record%2FWOS:A1997XV02900006","View Full Record in Web of Science")</f>
        <v>View Full Record in Web of Science</v>
      </c>
    </row>
    <row r="797" spans="1:72" x14ac:dyDescent="0.15">
      <c r="A797" t="s">
        <v>72</v>
      </c>
      <c r="B797" t="s">
        <v>9669</v>
      </c>
      <c r="C797" t="s">
        <v>74</v>
      </c>
      <c r="D797" t="s">
        <v>74</v>
      </c>
      <c r="E797" t="s">
        <v>74</v>
      </c>
      <c r="F797" t="s">
        <v>9669</v>
      </c>
      <c r="G797" t="s">
        <v>74</v>
      </c>
      <c r="H797" t="s">
        <v>74</v>
      </c>
      <c r="I797" t="s">
        <v>9670</v>
      </c>
      <c r="J797" t="s">
        <v>9671</v>
      </c>
      <c r="K797" t="s">
        <v>74</v>
      </c>
      <c r="L797" t="s">
        <v>74</v>
      </c>
      <c r="M797" t="s">
        <v>2735</v>
      </c>
      <c r="N797" t="s">
        <v>494</v>
      </c>
      <c r="O797" t="s">
        <v>74</v>
      </c>
      <c r="P797" t="s">
        <v>74</v>
      </c>
      <c r="Q797" t="s">
        <v>74</v>
      </c>
      <c r="R797" t="s">
        <v>74</v>
      </c>
      <c r="S797" t="s">
        <v>74</v>
      </c>
      <c r="T797" t="s">
        <v>74</v>
      </c>
      <c r="U797" t="s">
        <v>9672</v>
      </c>
      <c r="V797" t="s">
        <v>9673</v>
      </c>
      <c r="W797" t="s">
        <v>9674</v>
      </c>
      <c r="X797" t="s">
        <v>9675</v>
      </c>
      <c r="Y797" t="s">
        <v>9676</v>
      </c>
      <c r="Z797" t="s">
        <v>9677</v>
      </c>
      <c r="AA797" t="s">
        <v>9678</v>
      </c>
      <c r="AB797" t="s">
        <v>9679</v>
      </c>
      <c r="AC797" t="s">
        <v>74</v>
      </c>
      <c r="AD797" t="s">
        <v>74</v>
      </c>
      <c r="AE797" t="s">
        <v>74</v>
      </c>
      <c r="AF797" t="s">
        <v>74</v>
      </c>
      <c r="AG797">
        <v>364</v>
      </c>
      <c r="AH797">
        <v>3</v>
      </c>
      <c r="AI797">
        <v>3</v>
      </c>
      <c r="AJ797">
        <v>0</v>
      </c>
      <c r="AK797">
        <v>17</v>
      </c>
      <c r="AL797" t="s">
        <v>9680</v>
      </c>
      <c r="AM797" t="s">
        <v>9681</v>
      </c>
      <c r="AN797" t="s">
        <v>9682</v>
      </c>
      <c r="AO797" t="s">
        <v>9683</v>
      </c>
      <c r="AP797" t="s">
        <v>74</v>
      </c>
      <c r="AQ797" t="s">
        <v>74</v>
      </c>
      <c r="AR797" t="s">
        <v>9684</v>
      </c>
      <c r="AS797" t="s">
        <v>9685</v>
      </c>
      <c r="AT797" t="s">
        <v>9272</v>
      </c>
      <c r="AU797">
        <v>1997</v>
      </c>
      <c r="AV797">
        <v>52</v>
      </c>
      <c r="AW797">
        <v>4</v>
      </c>
      <c r="AX797" t="s">
        <v>74</v>
      </c>
      <c r="AY797" t="s">
        <v>74</v>
      </c>
      <c r="AZ797" t="s">
        <v>74</v>
      </c>
      <c r="BA797" t="s">
        <v>74</v>
      </c>
      <c r="BB797">
        <v>369</v>
      </c>
      <c r="BC797">
        <v>410</v>
      </c>
      <c r="BD797" t="s">
        <v>74</v>
      </c>
      <c r="BE797" t="s">
        <v>74</v>
      </c>
      <c r="BF797" t="s">
        <v>74</v>
      </c>
      <c r="BG797" t="s">
        <v>74</v>
      </c>
      <c r="BH797" t="s">
        <v>74</v>
      </c>
      <c r="BI797">
        <v>42</v>
      </c>
      <c r="BJ797" t="s">
        <v>1828</v>
      </c>
      <c r="BK797" t="s">
        <v>98</v>
      </c>
      <c r="BL797" t="s">
        <v>1545</v>
      </c>
      <c r="BM797" t="s">
        <v>9686</v>
      </c>
      <c r="BN797" t="s">
        <v>74</v>
      </c>
      <c r="BO797" t="s">
        <v>74</v>
      </c>
      <c r="BP797" t="s">
        <v>74</v>
      </c>
      <c r="BQ797" t="s">
        <v>74</v>
      </c>
      <c r="BR797" t="s">
        <v>101</v>
      </c>
      <c r="BS797" t="s">
        <v>9687</v>
      </c>
      <c r="BT797" t="str">
        <f>HYPERLINK("https%3A%2F%2Fwww.webofscience.com%2Fwos%2Fwoscc%2Ffull-record%2FWOS:000071532900005","View Full Record in Web of Science")</f>
        <v>View Full Record in Web of Science</v>
      </c>
    </row>
    <row r="798" spans="1:72" x14ac:dyDescent="0.15">
      <c r="A798" t="s">
        <v>72</v>
      </c>
      <c r="B798" t="s">
        <v>9688</v>
      </c>
      <c r="C798" t="s">
        <v>74</v>
      </c>
      <c r="D798" t="s">
        <v>74</v>
      </c>
      <c r="E798" t="s">
        <v>74</v>
      </c>
      <c r="F798" t="s">
        <v>9688</v>
      </c>
      <c r="G798" t="s">
        <v>74</v>
      </c>
      <c r="H798" t="s">
        <v>74</v>
      </c>
      <c r="I798" t="s">
        <v>9689</v>
      </c>
      <c r="J798" t="s">
        <v>9690</v>
      </c>
      <c r="K798" t="s">
        <v>74</v>
      </c>
      <c r="L798" t="s">
        <v>74</v>
      </c>
      <c r="M798" t="s">
        <v>77</v>
      </c>
      <c r="N798" t="s">
        <v>8231</v>
      </c>
      <c r="O798" t="s">
        <v>74</v>
      </c>
      <c r="P798" t="s">
        <v>74</v>
      </c>
      <c r="Q798" t="s">
        <v>74</v>
      </c>
      <c r="R798" t="s">
        <v>74</v>
      </c>
      <c r="S798" t="s">
        <v>74</v>
      </c>
      <c r="T798" t="s">
        <v>74</v>
      </c>
      <c r="U798" t="s">
        <v>74</v>
      </c>
      <c r="V798" t="s">
        <v>74</v>
      </c>
      <c r="W798" t="s">
        <v>74</v>
      </c>
      <c r="X798" t="s">
        <v>74</v>
      </c>
      <c r="Y798" t="s">
        <v>74</v>
      </c>
      <c r="Z798" t="s">
        <v>74</v>
      </c>
      <c r="AA798" t="s">
        <v>74</v>
      </c>
      <c r="AB798" t="s">
        <v>74</v>
      </c>
      <c r="AC798" t="s">
        <v>74</v>
      </c>
      <c r="AD798" t="s">
        <v>74</v>
      </c>
      <c r="AE798" t="s">
        <v>74</v>
      </c>
      <c r="AF798" t="s">
        <v>74</v>
      </c>
      <c r="AG798">
        <v>0</v>
      </c>
      <c r="AH798">
        <v>0</v>
      </c>
      <c r="AI798">
        <v>0</v>
      </c>
      <c r="AJ798">
        <v>0</v>
      </c>
      <c r="AK798">
        <v>0</v>
      </c>
      <c r="AL798" t="s">
        <v>9691</v>
      </c>
      <c r="AM798" t="s">
        <v>9692</v>
      </c>
      <c r="AN798" t="s">
        <v>9693</v>
      </c>
      <c r="AO798" t="s">
        <v>9694</v>
      </c>
      <c r="AP798" t="s">
        <v>74</v>
      </c>
      <c r="AQ798" t="s">
        <v>74</v>
      </c>
      <c r="AR798" t="s">
        <v>9690</v>
      </c>
      <c r="AS798" t="s">
        <v>9695</v>
      </c>
      <c r="AT798" t="s">
        <v>9123</v>
      </c>
      <c r="AU798">
        <v>1997</v>
      </c>
      <c r="AV798">
        <v>28</v>
      </c>
      <c r="AW798">
        <v>9</v>
      </c>
      <c r="AX798" t="s">
        <v>74</v>
      </c>
      <c r="AY798" t="s">
        <v>74</v>
      </c>
      <c r="AZ798" t="s">
        <v>74</v>
      </c>
      <c r="BA798" t="s">
        <v>74</v>
      </c>
      <c r="BB798">
        <v>269</v>
      </c>
      <c r="BC798">
        <v>269</v>
      </c>
      <c r="BD798" t="s">
        <v>74</v>
      </c>
      <c r="BE798" t="s">
        <v>74</v>
      </c>
      <c r="BF798" t="s">
        <v>74</v>
      </c>
      <c r="BG798" t="s">
        <v>74</v>
      </c>
      <c r="BH798" t="s">
        <v>74</v>
      </c>
      <c r="BI798">
        <v>1</v>
      </c>
      <c r="BJ798" t="s">
        <v>186</v>
      </c>
      <c r="BK798" t="s">
        <v>98</v>
      </c>
      <c r="BL798" t="s">
        <v>187</v>
      </c>
      <c r="BM798" t="s">
        <v>9696</v>
      </c>
      <c r="BN798" t="s">
        <v>74</v>
      </c>
      <c r="BO798" t="s">
        <v>74</v>
      </c>
      <c r="BP798" t="s">
        <v>74</v>
      </c>
      <c r="BQ798" t="s">
        <v>74</v>
      </c>
      <c r="BR798" t="s">
        <v>101</v>
      </c>
      <c r="BS798" t="s">
        <v>9697</v>
      </c>
      <c r="BT798" t="str">
        <f>HYPERLINK("https%3A%2F%2Fwww.webofscience.com%2Fwos%2Fwoscc%2Ffull-record%2FWOS:A1997YC33100019","View Full Record in Web of Science")</f>
        <v>View Full Record in Web of Science</v>
      </c>
    </row>
    <row r="799" spans="1:72" x14ac:dyDescent="0.15">
      <c r="A799" t="s">
        <v>72</v>
      </c>
      <c r="B799" t="s">
        <v>9698</v>
      </c>
      <c r="C799" t="s">
        <v>74</v>
      </c>
      <c r="D799" t="s">
        <v>74</v>
      </c>
      <c r="E799" t="s">
        <v>74</v>
      </c>
      <c r="F799" t="s">
        <v>9698</v>
      </c>
      <c r="G799" t="s">
        <v>74</v>
      </c>
      <c r="H799" t="s">
        <v>74</v>
      </c>
      <c r="I799" t="s">
        <v>9699</v>
      </c>
      <c r="J799" t="s">
        <v>9700</v>
      </c>
      <c r="K799" t="s">
        <v>74</v>
      </c>
      <c r="L799" t="s">
        <v>74</v>
      </c>
      <c r="M799" t="s">
        <v>77</v>
      </c>
      <c r="N799" t="s">
        <v>78</v>
      </c>
      <c r="O799" t="s">
        <v>74</v>
      </c>
      <c r="P799" t="s">
        <v>74</v>
      </c>
      <c r="Q799" t="s">
        <v>74</v>
      </c>
      <c r="R799" t="s">
        <v>74</v>
      </c>
      <c r="S799" t="s">
        <v>74</v>
      </c>
      <c r="T799" t="s">
        <v>74</v>
      </c>
      <c r="U799" t="s">
        <v>9701</v>
      </c>
      <c r="V799" t="s">
        <v>9702</v>
      </c>
      <c r="W799" t="s">
        <v>758</v>
      </c>
      <c r="X799" t="s">
        <v>322</v>
      </c>
      <c r="Y799" t="s">
        <v>9703</v>
      </c>
      <c r="Z799" t="s">
        <v>74</v>
      </c>
      <c r="AA799" t="s">
        <v>9704</v>
      </c>
      <c r="AB799" t="s">
        <v>9705</v>
      </c>
      <c r="AC799" t="s">
        <v>74</v>
      </c>
      <c r="AD799" t="s">
        <v>74</v>
      </c>
      <c r="AE799" t="s">
        <v>74</v>
      </c>
      <c r="AF799" t="s">
        <v>74</v>
      </c>
      <c r="AG799">
        <v>34</v>
      </c>
      <c r="AH799">
        <v>15</v>
      </c>
      <c r="AI799">
        <v>15</v>
      </c>
      <c r="AJ799">
        <v>0</v>
      </c>
      <c r="AK799">
        <v>2</v>
      </c>
      <c r="AL799" t="s">
        <v>213</v>
      </c>
      <c r="AM799" t="s">
        <v>214</v>
      </c>
      <c r="AN799" t="s">
        <v>215</v>
      </c>
      <c r="AO799" t="s">
        <v>9706</v>
      </c>
      <c r="AP799" t="s">
        <v>74</v>
      </c>
      <c r="AQ799" t="s">
        <v>74</v>
      </c>
      <c r="AR799" t="s">
        <v>9700</v>
      </c>
      <c r="AS799" t="s">
        <v>9707</v>
      </c>
      <c r="AT799" t="s">
        <v>9272</v>
      </c>
      <c r="AU799">
        <v>1997</v>
      </c>
      <c r="AV799">
        <v>9</v>
      </c>
      <c r="AW799" t="s">
        <v>7595</v>
      </c>
      <c r="AX799" t="s">
        <v>74</v>
      </c>
      <c r="AY799" t="s">
        <v>74</v>
      </c>
      <c r="AZ799" t="s">
        <v>74</v>
      </c>
      <c r="BA799" t="s">
        <v>74</v>
      </c>
      <c r="BB799">
        <v>255</v>
      </c>
      <c r="BC799">
        <v>259</v>
      </c>
      <c r="BD799" t="s">
        <v>74</v>
      </c>
      <c r="BE799" t="s">
        <v>9708</v>
      </c>
      <c r="BF799" t="str">
        <f>HYPERLINK("http://dx.doi.org/10.1111/j.1365-3121.1997.tb00024.x","http://dx.doi.org/10.1111/j.1365-3121.1997.tb00024.x")</f>
        <v>http://dx.doi.org/10.1111/j.1365-3121.1997.tb00024.x</v>
      </c>
      <c r="BG799" t="s">
        <v>74</v>
      </c>
      <c r="BH799" t="s">
        <v>74</v>
      </c>
      <c r="BI799">
        <v>5</v>
      </c>
      <c r="BJ799" t="s">
        <v>769</v>
      </c>
      <c r="BK799" t="s">
        <v>98</v>
      </c>
      <c r="BL799" t="s">
        <v>471</v>
      </c>
      <c r="BM799" t="s">
        <v>9709</v>
      </c>
      <c r="BN799" t="s">
        <v>74</v>
      </c>
      <c r="BO799" t="s">
        <v>74</v>
      </c>
      <c r="BP799" t="s">
        <v>74</v>
      </c>
      <c r="BQ799" t="s">
        <v>74</v>
      </c>
      <c r="BR799" t="s">
        <v>101</v>
      </c>
      <c r="BS799" t="s">
        <v>9710</v>
      </c>
      <c r="BT799" t="str">
        <f>HYPERLINK("https%3A%2F%2Fwww.webofscience.com%2Fwos%2Fwoscc%2Ffull-record%2FWOS:000075339800013","View Full Record in Web of Science")</f>
        <v>View Full Record in Web of Science</v>
      </c>
    </row>
    <row r="800" spans="1:72" x14ac:dyDescent="0.15">
      <c r="A800" t="s">
        <v>72</v>
      </c>
      <c r="B800" t="s">
        <v>9070</v>
      </c>
      <c r="C800" t="s">
        <v>74</v>
      </c>
      <c r="D800" t="s">
        <v>74</v>
      </c>
      <c r="E800" t="s">
        <v>74</v>
      </c>
      <c r="F800" t="s">
        <v>9070</v>
      </c>
      <c r="G800" t="s">
        <v>74</v>
      </c>
      <c r="H800" t="s">
        <v>74</v>
      </c>
      <c r="I800" t="s">
        <v>9711</v>
      </c>
      <c r="J800" t="s">
        <v>9712</v>
      </c>
      <c r="K800" t="s">
        <v>74</v>
      </c>
      <c r="L800" t="s">
        <v>74</v>
      </c>
      <c r="M800" t="s">
        <v>77</v>
      </c>
      <c r="N800" t="s">
        <v>1135</v>
      </c>
      <c r="O800" t="s">
        <v>74</v>
      </c>
      <c r="P800" t="s">
        <v>74</v>
      </c>
      <c r="Q800" t="s">
        <v>74</v>
      </c>
      <c r="R800" t="s">
        <v>74</v>
      </c>
      <c r="S800" t="s">
        <v>74</v>
      </c>
      <c r="T800" t="s">
        <v>74</v>
      </c>
      <c r="U800" t="s">
        <v>74</v>
      </c>
      <c r="V800" t="s">
        <v>74</v>
      </c>
      <c r="W800" t="s">
        <v>74</v>
      </c>
      <c r="X800" t="s">
        <v>74</v>
      </c>
      <c r="Y800" t="s">
        <v>74</v>
      </c>
      <c r="Z800" t="s">
        <v>74</v>
      </c>
      <c r="AA800" t="s">
        <v>74</v>
      </c>
      <c r="AB800" t="s">
        <v>74</v>
      </c>
      <c r="AC800" t="s">
        <v>74</v>
      </c>
      <c r="AD800" t="s">
        <v>74</v>
      </c>
      <c r="AE800" t="s">
        <v>74</v>
      </c>
      <c r="AF800" t="s">
        <v>74</v>
      </c>
      <c r="AG800">
        <v>1</v>
      </c>
      <c r="AH800">
        <v>0</v>
      </c>
      <c r="AI800">
        <v>0</v>
      </c>
      <c r="AJ800">
        <v>0</v>
      </c>
      <c r="AK800">
        <v>0</v>
      </c>
      <c r="AL800" t="s">
        <v>9713</v>
      </c>
      <c r="AM800" t="s">
        <v>201</v>
      </c>
      <c r="AN800" t="s">
        <v>9714</v>
      </c>
      <c r="AO800" t="s">
        <v>9715</v>
      </c>
      <c r="AP800" t="s">
        <v>74</v>
      </c>
      <c r="AQ800" t="s">
        <v>74</v>
      </c>
      <c r="AR800" t="s">
        <v>9716</v>
      </c>
      <c r="AS800" t="s">
        <v>9717</v>
      </c>
      <c r="AT800" t="s">
        <v>9718</v>
      </c>
      <c r="AU800">
        <v>1997</v>
      </c>
      <c r="AV800" t="s">
        <v>74</v>
      </c>
      <c r="AW800">
        <v>4930</v>
      </c>
      <c r="AX800" t="s">
        <v>74</v>
      </c>
      <c r="AY800" t="s">
        <v>74</v>
      </c>
      <c r="AZ800" t="s">
        <v>74</v>
      </c>
      <c r="BA800" t="s">
        <v>74</v>
      </c>
      <c r="BB800">
        <v>30</v>
      </c>
      <c r="BC800">
        <v>30</v>
      </c>
      <c r="BD800" t="s">
        <v>74</v>
      </c>
      <c r="BE800" t="s">
        <v>74</v>
      </c>
      <c r="BF800" t="s">
        <v>74</v>
      </c>
      <c r="BG800" t="s">
        <v>74</v>
      </c>
      <c r="BH800" t="s">
        <v>74</v>
      </c>
      <c r="BI800">
        <v>1</v>
      </c>
      <c r="BJ800" t="s">
        <v>1141</v>
      </c>
      <c r="BK800" t="s">
        <v>1142</v>
      </c>
      <c r="BL800" t="s">
        <v>1143</v>
      </c>
      <c r="BM800" t="s">
        <v>9719</v>
      </c>
      <c r="BN800" t="s">
        <v>74</v>
      </c>
      <c r="BO800" t="s">
        <v>74</v>
      </c>
      <c r="BP800" t="s">
        <v>74</v>
      </c>
      <c r="BQ800" t="s">
        <v>74</v>
      </c>
      <c r="BR800" t="s">
        <v>101</v>
      </c>
      <c r="BS800" t="s">
        <v>9720</v>
      </c>
      <c r="BT800" t="str">
        <f>HYPERLINK("https%3A%2F%2Fwww.webofscience.com%2Fwos%2Fwoscc%2Ffull-record%2FWOS:A1997XY65200048","View Full Record in Web of Science")</f>
        <v>View Full Record in Web of Science</v>
      </c>
    </row>
    <row r="801" spans="1:72" x14ac:dyDescent="0.15">
      <c r="A801" t="s">
        <v>72</v>
      </c>
      <c r="B801" t="s">
        <v>9721</v>
      </c>
      <c r="C801" t="s">
        <v>74</v>
      </c>
      <c r="D801" t="s">
        <v>74</v>
      </c>
      <c r="E801" t="s">
        <v>74</v>
      </c>
      <c r="F801" t="s">
        <v>9721</v>
      </c>
      <c r="G801" t="s">
        <v>74</v>
      </c>
      <c r="H801" t="s">
        <v>74</v>
      </c>
      <c r="I801" t="s">
        <v>9722</v>
      </c>
      <c r="J801" t="s">
        <v>9723</v>
      </c>
      <c r="K801" t="s">
        <v>74</v>
      </c>
      <c r="L801" t="s">
        <v>74</v>
      </c>
      <c r="M801" t="s">
        <v>77</v>
      </c>
      <c r="N801" t="s">
        <v>78</v>
      </c>
      <c r="O801" t="s">
        <v>74</v>
      </c>
      <c r="P801" t="s">
        <v>74</v>
      </c>
      <c r="Q801" t="s">
        <v>74</v>
      </c>
      <c r="R801" t="s">
        <v>74</v>
      </c>
      <c r="S801" t="s">
        <v>74</v>
      </c>
      <c r="T801" t="s">
        <v>74</v>
      </c>
      <c r="U801" t="s">
        <v>9724</v>
      </c>
      <c r="V801" t="s">
        <v>9725</v>
      </c>
      <c r="W801" t="s">
        <v>9726</v>
      </c>
      <c r="X801" t="s">
        <v>9727</v>
      </c>
      <c r="Y801" t="s">
        <v>9728</v>
      </c>
      <c r="Z801" t="s">
        <v>74</v>
      </c>
      <c r="AA801" t="s">
        <v>9729</v>
      </c>
      <c r="AB801" t="s">
        <v>9730</v>
      </c>
      <c r="AC801" t="s">
        <v>74</v>
      </c>
      <c r="AD801" t="s">
        <v>74</v>
      </c>
      <c r="AE801" t="s">
        <v>74</v>
      </c>
      <c r="AF801" t="s">
        <v>74</v>
      </c>
      <c r="AG801">
        <v>47</v>
      </c>
      <c r="AH801">
        <v>15</v>
      </c>
      <c r="AI801">
        <v>17</v>
      </c>
      <c r="AJ801">
        <v>0</v>
      </c>
      <c r="AK801">
        <v>3</v>
      </c>
      <c r="AL801" t="s">
        <v>87</v>
      </c>
      <c r="AM801" t="s">
        <v>88</v>
      </c>
      <c r="AN801" t="s">
        <v>89</v>
      </c>
      <c r="AO801" t="s">
        <v>9731</v>
      </c>
      <c r="AP801" t="s">
        <v>9732</v>
      </c>
      <c r="AQ801" t="s">
        <v>74</v>
      </c>
      <c r="AR801" t="s">
        <v>9733</v>
      </c>
      <c r="AS801" t="s">
        <v>9734</v>
      </c>
      <c r="AT801" t="s">
        <v>9735</v>
      </c>
      <c r="AU801">
        <v>1997</v>
      </c>
      <c r="AV801">
        <v>102</v>
      </c>
      <c r="AW801" t="s">
        <v>9736</v>
      </c>
      <c r="AX801" t="s">
        <v>74</v>
      </c>
      <c r="AY801" t="s">
        <v>74</v>
      </c>
      <c r="AZ801" t="s">
        <v>74</v>
      </c>
      <c r="BA801" t="s">
        <v>74</v>
      </c>
      <c r="BB801">
        <v>21589</v>
      </c>
      <c r="BC801">
        <v>21611</v>
      </c>
      <c r="BD801" t="s">
        <v>74</v>
      </c>
      <c r="BE801" t="s">
        <v>9737</v>
      </c>
      <c r="BF801" t="str">
        <f>HYPERLINK("http://dx.doi.org/10.1029/97JE01873","http://dx.doi.org/10.1029/97JE01873")</f>
        <v>http://dx.doi.org/10.1029/97JE01873</v>
      </c>
      <c r="BG801" t="s">
        <v>74</v>
      </c>
      <c r="BH801" t="s">
        <v>74</v>
      </c>
      <c r="BI801">
        <v>23</v>
      </c>
      <c r="BJ801" t="s">
        <v>143</v>
      </c>
      <c r="BK801" t="s">
        <v>98</v>
      </c>
      <c r="BL801" t="s">
        <v>143</v>
      </c>
      <c r="BM801" t="s">
        <v>9738</v>
      </c>
      <c r="BN801" t="s">
        <v>74</v>
      </c>
      <c r="BO801" t="s">
        <v>100</v>
      </c>
      <c r="BP801" t="s">
        <v>74</v>
      </c>
      <c r="BQ801" t="s">
        <v>74</v>
      </c>
      <c r="BR801" t="s">
        <v>101</v>
      </c>
      <c r="BS801" t="s">
        <v>9739</v>
      </c>
      <c r="BT801" t="str">
        <f>HYPERLINK("https%3A%2F%2Fwww.webofscience.com%2Fwos%2Fwoscc%2Ffull-record%2FWOS:A1997XY74800003","View Full Record in Web of Science")</f>
        <v>View Full Record in Web of Science</v>
      </c>
    </row>
    <row r="802" spans="1:72" x14ac:dyDescent="0.15">
      <c r="A802" t="s">
        <v>72</v>
      </c>
      <c r="B802" t="s">
        <v>9740</v>
      </c>
      <c r="C802" t="s">
        <v>74</v>
      </c>
      <c r="D802" t="s">
        <v>74</v>
      </c>
      <c r="E802" t="s">
        <v>74</v>
      </c>
      <c r="F802" t="s">
        <v>9740</v>
      </c>
      <c r="G802" t="s">
        <v>74</v>
      </c>
      <c r="H802" t="s">
        <v>74</v>
      </c>
      <c r="I802" t="s">
        <v>9741</v>
      </c>
      <c r="J802" t="s">
        <v>994</v>
      </c>
      <c r="K802" t="s">
        <v>74</v>
      </c>
      <c r="L802" t="s">
        <v>74</v>
      </c>
      <c r="M802" t="s">
        <v>77</v>
      </c>
      <c r="N802" t="s">
        <v>78</v>
      </c>
      <c r="O802" t="s">
        <v>74</v>
      </c>
      <c r="P802" t="s">
        <v>74</v>
      </c>
      <c r="Q802" t="s">
        <v>74</v>
      </c>
      <c r="R802" t="s">
        <v>74</v>
      </c>
      <c r="S802" t="s">
        <v>74</v>
      </c>
      <c r="T802" t="s">
        <v>74</v>
      </c>
      <c r="U802" t="s">
        <v>9742</v>
      </c>
      <c r="V802" t="s">
        <v>9743</v>
      </c>
      <c r="W802" t="s">
        <v>9744</v>
      </c>
      <c r="X802" t="s">
        <v>9745</v>
      </c>
      <c r="Y802" t="s">
        <v>74</v>
      </c>
      <c r="Z802" t="s">
        <v>74</v>
      </c>
      <c r="AA802" t="s">
        <v>9746</v>
      </c>
      <c r="AB802" t="s">
        <v>9747</v>
      </c>
      <c r="AC802" t="s">
        <v>74</v>
      </c>
      <c r="AD802" t="s">
        <v>74</v>
      </c>
      <c r="AE802" t="s">
        <v>74</v>
      </c>
      <c r="AF802" t="s">
        <v>74</v>
      </c>
      <c r="AG802">
        <v>38</v>
      </c>
      <c r="AH802">
        <v>13</v>
      </c>
      <c r="AI802">
        <v>13</v>
      </c>
      <c r="AJ802">
        <v>0</v>
      </c>
      <c r="AK802">
        <v>5</v>
      </c>
      <c r="AL802" t="s">
        <v>87</v>
      </c>
      <c r="AM802" t="s">
        <v>88</v>
      </c>
      <c r="AN802" t="s">
        <v>89</v>
      </c>
      <c r="AO802" t="s">
        <v>1001</v>
      </c>
      <c r="AP802" t="s">
        <v>74</v>
      </c>
      <c r="AQ802" t="s">
        <v>74</v>
      </c>
      <c r="AR802" t="s">
        <v>1002</v>
      </c>
      <c r="AS802" t="s">
        <v>1003</v>
      </c>
      <c r="AT802" t="s">
        <v>9748</v>
      </c>
      <c r="AU802">
        <v>1997</v>
      </c>
      <c r="AV802">
        <v>102</v>
      </c>
      <c r="AW802" t="s">
        <v>9749</v>
      </c>
      <c r="AX802" t="s">
        <v>74</v>
      </c>
      <c r="AY802" t="s">
        <v>74</v>
      </c>
      <c r="AZ802" t="s">
        <v>74</v>
      </c>
      <c r="BA802" t="s">
        <v>74</v>
      </c>
      <c r="BB802">
        <v>21479</v>
      </c>
      <c r="BC802">
        <v>21491</v>
      </c>
      <c r="BD802" t="s">
        <v>74</v>
      </c>
      <c r="BE802" t="s">
        <v>9750</v>
      </c>
      <c r="BF802" t="str">
        <f>HYPERLINK("http://dx.doi.org/10.1029/97JD00422","http://dx.doi.org/10.1029/97JD00422")</f>
        <v>http://dx.doi.org/10.1029/97JD00422</v>
      </c>
      <c r="BG802" t="s">
        <v>74</v>
      </c>
      <c r="BH802" t="s">
        <v>74</v>
      </c>
      <c r="BI802">
        <v>13</v>
      </c>
      <c r="BJ802" t="s">
        <v>635</v>
      </c>
      <c r="BK802" t="s">
        <v>98</v>
      </c>
      <c r="BL802" t="s">
        <v>635</v>
      </c>
      <c r="BM802" t="s">
        <v>9751</v>
      </c>
      <c r="BN802" t="s">
        <v>74</v>
      </c>
      <c r="BO802" t="s">
        <v>74</v>
      </c>
      <c r="BP802" t="s">
        <v>74</v>
      </c>
      <c r="BQ802" t="s">
        <v>74</v>
      </c>
      <c r="BR802" t="s">
        <v>101</v>
      </c>
      <c r="BS802" t="s">
        <v>9752</v>
      </c>
      <c r="BT802" t="str">
        <f>HYPERLINK("https%3A%2F%2Fwww.webofscience.com%2Fwos%2Fwoscc%2Ffull-record%2FWOS:A1997XX38000022","View Full Record in Web of Science")</f>
        <v>View Full Record in Web of Science</v>
      </c>
    </row>
    <row r="803" spans="1:72" x14ac:dyDescent="0.15">
      <c r="A803" t="s">
        <v>72</v>
      </c>
      <c r="B803" t="s">
        <v>9753</v>
      </c>
      <c r="C803" t="s">
        <v>74</v>
      </c>
      <c r="D803" t="s">
        <v>74</v>
      </c>
      <c r="E803" t="s">
        <v>74</v>
      </c>
      <c r="F803" t="s">
        <v>9753</v>
      </c>
      <c r="G803" t="s">
        <v>74</v>
      </c>
      <c r="H803" t="s">
        <v>74</v>
      </c>
      <c r="I803" t="s">
        <v>9754</v>
      </c>
      <c r="J803" t="s">
        <v>9755</v>
      </c>
      <c r="K803" t="s">
        <v>74</v>
      </c>
      <c r="L803" t="s">
        <v>74</v>
      </c>
      <c r="M803" t="s">
        <v>77</v>
      </c>
      <c r="N803" t="s">
        <v>78</v>
      </c>
      <c r="O803" t="s">
        <v>74</v>
      </c>
      <c r="P803" t="s">
        <v>74</v>
      </c>
      <c r="Q803" t="s">
        <v>74</v>
      </c>
      <c r="R803" t="s">
        <v>74</v>
      </c>
      <c r="S803" t="s">
        <v>74</v>
      </c>
      <c r="T803" t="s">
        <v>9756</v>
      </c>
      <c r="U803" t="s">
        <v>9757</v>
      </c>
      <c r="V803" t="s">
        <v>9758</v>
      </c>
      <c r="W803" t="s">
        <v>9759</v>
      </c>
      <c r="X803" t="s">
        <v>9760</v>
      </c>
      <c r="Y803" t="s">
        <v>74</v>
      </c>
      <c r="Z803" t="s">
        <v>74</v>
      </c>
      <c r="AA803" t="s">
        <v>74</v>
      </c>
      <c r="AB803" t="s">
        <v>74</v>
      </c>
      <c r="AC803" t="s">
        <v>74</v>
      </c>
      <c r="AD803" t="s">
        <v>74</v>
      </c>
      <c r="AE803" t="s">
        <v>74</v>
      </c>
      <c r="AF803" t="s">
        <v>74</v>
      </c>
      <c r="AG803">
        <v>31</v>
      </c>
      <c r="AH803">
        <v>7</v>
      </c>
      <c r="AI803">
        <v>8</v>
      </c>
      <c r="AJ803">
        <v>3</v>
      </c>
      <c r="AK803">
        <v>5</v>
      </c>
      <c r="AL803" t="s">
        <v>9761</v>
      </c>
      <c r="AM803" t="s">
        <v>1030</v>
      </c>
      <c r="AN803" t="s">
        <v>9762</v>
      </c>
      <c r="AO803" t="s">
        <v>9763</v>
      </c>
      <c r="AP803" t="s">
        <v>9764</v>
      </c>
      <c r="AQ803" t="s">
        <v>74</v>
      </c>
      <c r="AR803" t="s">
        <v>9755</v>
      </c>
      <c r="AS803" t="s">
        <v>9765</v>
      </c>
      <c r="AT803" t="s">
        <v>9766</v>
      </c>
      <c r="AU803">
        <v>1997</v>
      </c>
      <c r="AV803">
        <v>197</v>
      </c>
      <c r="AW803" t="s">
        <v>4809</v>
      </c>
      <c r="AX803" t="s">
        <v>74</v>
      </c>
      <c r="AY803" t="s">
        <v>74</v>
      </c>
      <c r="AZ803" t="s">
        <v>74</v>
      </c>
      <c r="BA803" t="s">
        <v>74</v>
      </c>
      <c r="BB803">
        <v>353</v>
      </c>
      <c r="BC803">
        <v>360</v>
      </c>
      <c r="BD803" t="s">
        <v>74</v>
      </c>
      <c r="BE803" t="s">
        <v>9767</v>
      </c>
      <c r="BF803" t="str">
        <f>HYPERLINK("http://dx.doi.org/10.1016/S0378-1119(97)00283-7","http://dx.doi.org/10.1016/S0378-1119(97)00283-7")</f>
        <v>http://dx.doi.org/10.1016/S0378-1119(97)00283-7</v>
      </c>
      <c r="BG803" t="s">
        <v>74</v>
      </c>
      <c r="BH803" t="s">
        <v>74</v>
      </c>
      <c r="BI803">
        <v>8</v>
      </c>
      <c r="BJ803" t="s">
        <v>9768</v>
      </c>
      <c r="BK803" t="s">
        <v>98</v>
      </c>
      <c r="BL803" t="s">
        <v>9768</v>
      </c>
      <c r="BM803" t="s">
        <v>9769</v>
      </c>
      <c r="BN803">
        <v>9332385</v>
      </c>
      <c r="BO803" t="s">
        <v>74</v>
      </c>
      <c r="BP803" t="s">
        <v>74</v>
      </c>
      <c r="BQ803" t="s">
        <v>74</v>
      </c>
      <c r="BR803" t="s">
        <v>101</v>
      </c>
      <c r="BS803" t="s">
        <v>9770</v>
      </c>
      <c r="BT803" t="str">
        <f>HYPERLINK("https%3A%2F%2Fwww.webofscience.com%2Fwos%2Fwoscc%2Ffull-record%2FWOS:A1997XX86600042","View Full Record in Web of Science")</f>
        <v>View Full Record in Web of Science</v>
      </c>
    </row>
    <row r="804" spans="1:72" x14ac:dyDescent="0.15">
      <c r="A804" t="s">
        <v>72</v>
      </c>
      <c r="B804" t="s">
        <v>9771</v>
      </c>
      <c r="C804" t="s">
        <v>74</v>
      </c>
      <c r="D804" t="s">
        <v>74</v>
      </c>
      <c r="E804" t="s">
        <v>74</v>
      </c>
      <c r="F804" t="s">
        <v>9771</v>
      </c>
      <c r="G804" t="s">
        <v>74</v>
      </c>
      <c r="H804" t="s">
        <v>74</v>
      </c>
      <c r="I804" t="s">
        <v>9772</v>
      </c>
      <c r="J804" t="s">
        <v>1581</v>
      </c>
      <c r="K804" t="s">
        <v>74</v>
      </c>
      <c r="L804" t="s">
        <v>74</v>
      </c>
      <c r="M804" t="s">
        <v>77</v>
      </c>
      <c r="N804" t="s">
        <v>78</v>
      </c>
      <c r="O804" t="s">
        <v>74</v>
      </c>
      <c r="P804" t="s">
        <v>74</v>
      </c>
      <c r="Q804" t="s">
        <v>74</v>
      </c>
      <c r="R804" t="s">
        <v>74</v>
      </c>
      <c r="S804" t="s">
        <v>74</v>
      </c>
      <c r="T804" t="s">
        <v>74</v>
      </c>
      <c r="U804" t="s">
        <v>9773</v>
      </c>
      <c r="V804" t="s">
        <v>9774</v>
      </c>
      <c r="W804" t="s">
        <v>74</v>
      </c>
      <c r="X804" t="s">
        <v>74</v>
      </c>
      <c r="Y804" t="s">
        <v>9775</v>
      </c>
      <c r="Z804" t="s">
        <v>74</v>
      </c>
      <c r="AA804" t="s">
        <v>9776</v>
      </c>
      <c r="AB804" t="s">
        <v>74</v>
      </c>
      <c r="AC804" t="s">
        <v>74</v>
      </c>
      <c r="AD804" t="s">
        <v>74</v>
      </c>
      <c r="AE804" t="s">
        <v>74</v>
      </c>
      <c r="AF804" t="s">
        <v>74</v>
      </c>
      <c r="AG804">
        <v>19</v>
      </c>
      <c r="AH804">
        <v>3</v>
      </c>
      <c r="AI804">
        <v>8</v>
      </c>
      <c r="AJ804">
        <v>0</v>
      </c>
      <c r="AK804">
        <v>0</v>
      </c>
      <c r="AL804" t="s">
        <v>87</v>
      </c>
      <c r="AM804" t="s">
        <v>88</v>
      </c>
      <c r="AN804" t="s">
        <v>7533</v>
      </c>
      <c r="AO804" t="s">
        <v>1589</v>
      </c>
      <c r="AP804" t="s">
        <v>74</v>
      </c>
      <c r="AQ804" t="s">
        <v>74</v>
      </c>
      <c r="AR804" t="s">
        <v>1590</v>
      </c>
      <c r="AS804" t="s">
        <v>1591</v>
      </c>
      <c r="AT804" t="s">
        <v>9766</v>
      </c>
      <c r="AU804">
        <v>1997</v>
      </c>
      <c r="AV804">
        <v>24</v>
      </c>
      <c r="AW804">
        <v>18</v>
      </c>
      <c r="AX804" t="s">
        <v>74</v>
      </c>
      <c r="AY804" t="s">
        <v>74</v>
      </c>
      <c r="AZ804" t="s">
        <v>74</v>
      </c>
      <c r="BA804" t="s">
        <v>74</v>
      </c>
      <c r="BB804">
        <v>2295</v>
      </c>
      <c r="BC804">
        <v>2298</v>
      </c>
      <c r="BD804" t="s">
        <v>74</v>
      </c>
      <c r="BE804" t="s">
        <v>9777</v>
      </c>
      <c r="BF804" t="str">
        <f>HYPERLINK("http://dx.doi.org/10.1029/97GL02311","http://dx.doi.org/10.1029/97GL02311")</f>
        <v>http://dx.doi.org/10.1029/97GL02311</v>
      </c>
      <c r="BG804" t="s">
        <v>74</v>
      </c>
      <c r="BH804" t="s">
        <v>74</v>
      </c>
      <c r="BI804">
        <v>4</v>
      </c>
      <c r="BJ804" t="s">
        <v>769</v>
      </c>
      <c r="BK804" t="s">
        <v>98</v>
      </c>
      <c r="BL804" t="s">
        <v>471</v>
      </c>
      <c r="BM804" t="s">
        <v>9778</v>
      </c>
      <c r="BN804" t="s">
        <v>74</v>
      </c>
      <c r="BO804" t="s">
        <v>100</v>
      </c>
      <c r="BP804" t="s">
        <v>74</v>
      </c>
      <c r="BQ804" t="s">
        <v>74</v>
      </c>
      <c r="BR804" t="s">
        <v>101</v>
      </c>
      <c r="BS804" t="s">
        <v>9779</v>
      </c>
      <c r="BT804" t="str">
        <f>HYPERLINK("https%3A%2F%2Fwww.webofscience.com%2Fwos%2Fwoscc%2Ffull-record%2FWOS:A1997XW96300009","View Full Record in Web of Science")</f>
        <v>View Full Record in Web of Science</v>
      </c>
    </row>
    <row r="805" spans="1:72" x14ac:dyDescent="0.15">
      <c r="A805" t="s">
        <v>72</v>
      </c>
      <c r="B805" t="s">
        <v>9780</v>
      </c>
      <c r="C805" t="s">
        <v>74</v>
      </c>
      <c r="D805" t="s">
        <v>74</v>
      </c>
      <c r="E805" t="s">
        <v>74</v>
      </c>
      <c r="F805" t="s">
        <v>9780</v>
      </c>
      <c r="G805" t="s">
        <v>74</v>
      </c>
      <c r="H805" t="s">
        <v>74</v>
      </c>
      <c r="I805" t="s">
        <v>9781</v>
      </c>
      <c r="J805" t="s">
        <v>76</v>
      </c>
      <c r="K805" t="s">
        <v>74</v>
      </c>
      <c r="L805" t="s">
        <v>74</v>
      </c>
      <c r="M805" t="s">
        <v>77</v>
      </c>
      <c r="N805" t="s">
        <v>78</v>
      </c>
      <c r="O805" t="s">
        <v>74</v>
      </c>
      <c r="P805" t="s">
        <v>74</v>
      </c>
      <c r="Q805" t="s">
        <v>74</v>
      </c>
      <c r="R805" t="s">
        <v>74</v>
      </c>
      <c r="S805" t="s">
        <v>74</v>
      </c>
      <c r="T805" t="s">
        <v>74</v>
      </c>
      <c r="U805" t="s">
        <v>74</v>
      </c>
      <c r="V805" t="s">
        <v>9782</v>
      </c>
      <c r="W805" t="s">
        <v>74</v>
      </c>
      <c r="X805" t="s">
        <v>74</v>
      </c>
      <c r="Y805" t="s">
        <v>9783</v>
      </c>
      <c r="Z805" t="s">
        <v>74</v>
      </c>
      <c r="AA805" t="s">
        <v>74</v>
      </c>
      <c r="AB805" t="s">
        <v>74</v>
      </c>
      <c r="AC805" t="s">
        <v>74</v>
      </c>
      <c r="AD805" t="s">
        <v>74</v>
      </c>
      <c r="AE805" t="s">
        <v>74</v>
      </c>
      <c r="AF805" t="s">
        <v>74</v>
      </c>
      <c r="AG805">
        <v>7</v>
      </c>
      <c r="AH805">
        <v>2</v>
      </c>
      <c r="AI805">
        <v>2</v>
      </c>
      <c r="AJ805">
        <v>0</v>
      </c>
      <c r="AK805">
        <v>1</v>
      </c>
      <c r="AL805" t="s">
        <v>87</v>
      </c>
      <c r="AM805" t="s">
        <v>88</v>
      </c>
      <c r="AN805" t="s">
        <v>89</v>
      </c>
      <c r="AO805" t="s">
        <v>90</v>
      </c>
      <c r="AP805" t="s">
        <v>91</v>
      </c>
      <c r="AQ805" t="s">
        <v>74</v>
      </c>
      <c r="AR805" t="s">
        <v>92</v>
      </c>
      <c r="AS805" t="s">
        <v>93</v>
      </c>
      <c r="AT805" t="s">
        <v>9766</v>
      </c>
      <c r="AU805">
        <v>1997</v>
      </c>
      <c r="AV805">
        <v>102</v>
      </c>
      <c r="AW805" t="s">
        <v>9784</v>
      </c>
      <c r="AX805" t="s">
        <v>74</v>
      </c>
      <c r="AY805" t="s">
        <v>74</v>
      </c>
      <c r="AZ805" t="s">
        <v>74</v>
      </c>
      <c r="BA805" t="s">
        <v>74</v>
      </c>
      <c r="BB805">
        <v>20957</v>
      </c>
      <c r="BC805">
        <v>20965</v>
      </c>
      <c r="BD805" t="s">
        <v>74</v>
      </c>
      <c r="BE805" t="s">
        <v>9785</v>
      </c>
      <c r="BF805" t="str">
        <f>HYPERLINK("http://dx.doi.org/10.1029/97JC01582","http://dx.doi.org/10.1029/97JC01582")</f>
        <v>http://dx.doi.org/10.1029/97JC01582</v>
      </c>
      <c r="BG805" t="s">
        <v>74</v>
      </c>
      <c r="BH805" t="s">
        <v>74</v>
      </c>
      <c r="BI805">
        <v>9</v>
      </c>
      <c r="BJ805" t="s">
        <v>97</v>
      </c>
      <c r="BK805" t="s">
        <v>98</v>
      </c>
      <c r="BL805" t="s">
        <v>97</v>
      </c>
      <c r="BM805" t="s">
        <v>9786</v>
      </c>
      <c r="BN805" t="s">
        <v>74</v>
      </c>
      <c r="BO805" t="s">
        <v>74</v>
      </c>
      <c r="BP805" t="s">
        <v>74</v>
      </c>
      <c r="BQ805" t="s">
        <v>74</v>
      </c>
      <c r="BR805" t="s">
        <v>101</v>
      </c>
      <c r="BS805" t="s">
        <v>9787</v>
      </c>
      <c r="BT805" t="str">
        <f>HYPERLINK("https%3A%2F%2Fwww.webofscience.com%2Fwos%2Fwoscc%2Ffull-record%2FWOS:A1997XX06100005","View Full Record in Web of Science")</f>
        <v>View Full Record in Web of Science</v>
      </c>
    </row>
    <row r="806" spans="1:72" x14ac:dyDescent="0.15">
      <c r="A806" t="s">
        <v>72</v>
      </c>
      <c r="B806" t="s">
        <v>9788</v>
      </c>
      <c r="C806" t="s">
        <v>74</v>
      </c>
      <c r="D806" t="s">
        <v>74</v>
      </c>
      <c r="E806" t="s">
        <v>74</v>
      </c>
      <c r="F806" t="s">
        <v>9788</v>
      </c>
      <c r="G806" t="s">
        <v>74</v>
      </c>
      <c r="H806" t="s">
        <v>74</v>
      </c>
      <c r="I806" t="s">
        <v>9789</v>
      </c>
      <c r="J806" t="s">
        <v>76</v>
      </c>
      <c r="K806" t="s">
        <v>74</v>
      </c>
      <c r="L806" t="s">
        <v>74</v>
      </c>
      <c r="M806" t="s">
        <v>77</v>
      </c>
      <c r="N806" t="s">
        <v>78</v>
      </c>
      <c r="O806" t="s">
        <v>74</v>
      </c>
      <c r="P806" t="s">
        <v>74</v>
      </c>
      <c r="Q806" t="s">
        <v>74</v>
      </c>
      <c r="R806" t="s">
        <v>74</v>
      </c>
      <c r="S806" t="s">
        <v>74</v>
      </c>
      <c r="T806" t="s">
        <v>74</v>
      </c>
      <c r="U806" t="s">
        <v>9790</v>
      </c>
      <c r="V806" t="s">
        <v>9791</v>
      </c>
      <c r="W806" t="s">
        <v>9792</v>
      </c>
      <c r="X806" t="s">
        <v>8784</v>
      </c>
      <c r="Y806" t="s">
        <v>74</v>
      </c>
      <c r="Z806" t="s">
        <v>74</v>
      </c>
      <c r="AA806" t="s">
        <v>9793</v>
      </c>
      <c r="AB806" t="s">
        <v>74</v>
      </c>
      <c r="AC806" t="s">
        <v>74</v>
      </c>
      <c r="AD806" t="s">
        <v>74</v>
      </c>
      <c r="AE806" t="s">
        <v>74</v>
      </c>
      <c r="AF806" t="s">
        <v>74</v>
      </c>
      <c r="AG806">
        <v>50</v>
      </c>
      <c r="AH806">
        <v>50</v>
      </c>
      <c r="AI806">
        <v>50</v>
      </c>
      <c r="AJ806">
        <v>0</v>
      </c>
      <c r="AK806">
        <v>5</v>
      </c>
      <c r="AL806" t="s">
        <v>87</v>
      </c>
      <c r="AM806" t="s">
        <v>88</v>
      </c>
      <c r="AN806" t="s">
        <v>89</v>
      </c>
      <c r="AO806" t="s">
        <v>90</v>
      </c>
      <c r="AP806" t="s">
        <v>91</v>
      </c>
      <c r="AQ806" t="s">
        <v>74</v>
      </c>
      <c r="AR806" t="s">
        <v>92</v>
      </c>
      <c r="AS806" t="s">
        <v>93</v>
      </c>
      <c r="AT806" t="s">
        <v>9766</v>
      </c>
      <c r="AU806">
        <v>1997</v>
      </c>
      <c r="AV806">
        <v>102</v>
      </c>
      <c r="AW806" t="s">
        <v>9784</v>
      </c>
      <c r="AX806" t="s">
        <v>74</v>
      </c>
      <c r="AY806" t="s">
        <v>74</v>
      </c>
      <c r="AZ806" t="s">
        <v>74</v>
      </c>
      <c r="BA806" t="s">
        <v>74</v>
      </c>
      <c r="BB806">
        <v>20967</v>
      </c>
      <c r="BC806">
        <v>20986</v>
      </c>
      <c r="BD806" t="s">
        <v>74</v>
      </c>
      <c r="BE806" t="s">
        <v>9794</v>
      </c>
      <c r="BF806" t="str">
        <f>HYPERLINK("http://dx.doi.org/10.1029/97JC00977","http://dx.doi.org/10.1029/97JC00977")</f>
        <v>http://dx.doi.org/10.1029/97JC00977</v>
      </c>
      <c r="BG806" t="s">
        <v>74</v>
      </c>
      <c r="BH806" t="s">
        <v>74</v>
      </c>
      <c r="BI806">
        <v>20</v>
      </c>
      <c r="BJ806" t="s">
        <v>97</v>
      </c>
      <c r="BK806" t="s">
        <v>98</v>
      </c>
      <c r="BL806" t="s">
        <v>97</v>
      </c>
      <c r="BM806" t="s">
        <v>9786</v>
      </c>
      <c r="BN806" t="s">
        <v>74</v>
      </c>
      <c r="BO806" t="s">
        <v>100</v>
      </c>
      <c r="BP806" t="s">
        <v>74</v>
      </c>
      <c r="BQ806" t="s">
        <v>74</v>
      </c>
      <c r="BR806" t="s">
        <v>101</v>
      </c>
      <c r="BS806" t="s">
        <v>9795</v>
      </c>
      <c r="BT806" t="str">
        <f>HYPERLINK("https%3A%2F%2Fwww.webofscience.com%2Fwos%2Fwoscc%2Ffull-record%2FWOS:A1997XX06100006","View Full Record in Web of Science")</f>
        <v>View Full Record in Web of Science</v>
      </c>
    </row>
    <row r="807" spans="1:72" x14ac:dyDescent="0.15">
      <c r="A807" t="s">
        <v>72</v>
      </c>
      <c r="B807" t="s">
        <v>9796</v>
      </c>
      <c r="C807" t="s">
        <v>74</v>
      </c>
      <c r="D807" t="s">
        <v>74</v>
      </c>
      <c r="E807" t="s">
        <v>74</v>
      </c>
      <c r="F807" t="s">
        <v>9796</v>
      </c>
      <c r="G807" t="s">
        <v>74</v>
      </c>
      <c r="H807" t="s">
        <v>74</v>
      </c>
      <c r="I807" t="s">
        <v>9797</v>
      </c>
      <c r="J807" t="s">
        <v>76</v>
      </c>
      <c r="K807" t="s">
        <v>74</v>
      </c>
      <c r="L807" t="s">
        <v>74</v>
      </c>
      <c r="M807" t="s">
        <v>77</v>
      </c>
      <c r="N807" t="s">
        <v>78</v>
      </c>
      <c r="O807" t="s">
        <v>74</v>
      </c>
      <c r="P807" t="s">
        <v>74</v>
      </c>
      <c r="Q807" t="s">
        <v>74</v>
      </c>
      <c r="R807" t="s">
        <v>74</v>
      </c>
      <c r="S807" t="s">
        <v>74</v>
      </c>
      <c r="T807" t="s">
        <v>74</v>
      </c>
      <c r="U807" t="s">
        <v>9798</v>
      </c>
      <c r="V807" t="s">
        <v>9799</v>
      </c>
      <c r="W807" t="s">
        <v>74</v>
      </c>
      <c r="X807" t="s">
        <v>74</v>
      </c>
      <c r="Y807" t="s">
        <v>9800</v>
      </c>
      <c r="Z807" t="s">
        <v>74</v>
      </c>
      <c r="AA807" t="s">
        <v>74</v>
      </c>
      <c r="AB807" t="s">
        <v>74</v>
      </c>
      <c r="AC807" t="s">
        <v>74</v>
      </c>
      <c r="AD807" t="s">
        <v>74</v>
      </c>
      <c r="AE807" t="s">
        <v>74</v>
      </c>
      <c r="AF807" t="s">
        <v>74</v>
      </c>
      <c r="AG807">
        <v>84</v>
      </c>
      <c r="AH807">
        <v>133</v>
      </c>
      <c r="AI807">
        <v>141</v>
      </c>
      <c r="AJ807">
        <v>0</v>
      </c>
      <c r="AK807">
        <v>7</v>
      </c>
      <c r="AL807" t="s">
        <v>87</v>
      </c>
      <c r="AM807" t="s">
        <v>88</v>
      </c>
      <c r="AN807" t="s">
        <v>7533</v>
      </c>
      <c r="AO807" t="s">
        <v>74</v>
      </c>
      <c r="AP807" t="s">
        <v>74</v>
      </c>
      <c r="AQ807" t="s">
        <v>74</v>
      </c>
      <c r="AR807" t="s">
        <v>92</v>
      </c>
      <c r="AS807" t="s">
        <v>93</v>
      </c>
      <c r="AT807" t="s">
        <v>9766</v>
      </c>
      <c r="AU807">
        <v>1997</v>
      </c>
      <c r="AV807">
        <v>102</v>
      </c>
      <c r="AW807" t="s">
        <v>9784</v>
      </c>
      <c r="AX807" t="s">
        <v>74</v>
      </c>
      <c r="AY807" t="s">
        <v>74</v>
      </c>
      <c r="AZ807" t="s">
        <v>74</v>
      </c>
      <c r="BA807" t="s">
        <v>74</v>
      </c>
      <c r="BB807">
        <v>20987</v>
      </c>
      <c r="BC807">
        <v>21009</v>
      </c>
      <c r="BD807" t="s">
        <v>74</v>
      </c>
      <c r="BE807" t="s">
        <v>9801</v>
      </c>
      <c r="BF807" t="str">
        <f>HYPERLINK("http://dx.doi.org/10.1029/97JC01475","http://dx.doi.org/10.1029/97JC01475")</f>
        <v>http://dx.doi.org/10.1029/97JC01475</v>
      </c>
      <c r="BG807" t="s">
        <v>74</v>
      </c>
      <c r="BH807" t="s">
        <v>74</v>
      </c>
      <c r="BI807">
        <v>23</v>
      </c>
      <c r="BJ807" t="s">
        <v>97</v>
      </c>
      <c r="BK807" t="s">
        <v>98</v>
      </c>
      <c r="BL807" t="s">
        <v>97</v>
      </c>
      <c r="BM807" t="s">
        <v>9786</v>
      </c>
      <c r="BN807" t="s">
        <v>74</v>
      </c>
      <c r="BO807" t="s">
        <v>74</v>
      </c>
      <c r="BP807" t="s">
        <v>74</v>
      </c>
      <c r="BQ807" t="s">
        <v>74</v>
      </c>
      <c r="BR807" t="s">
        <v>101</v>
      </c>
      <c r="BS807" t="s">
        <v>9802</v>
      </c>
      <c r="BT807" t="str">
        <f>HYPERLINK("https%3A%2F%2Fwww.webofscience.com%2Fwos%2Fwoscc%2Ffull-record%2FWOS:A1997XX06100007","View Full Record in Web of Science")</f>
        <v>View Full Record in Web of Science</v>
      </c>
    </row>
    <row r="808" spans="1:72" x14ac:dyDescent="0.15">
      <c r="A808" t="s">
        <v>72</v>
      </c>
      <c r="B808" t="s">
        <v>9803</v>
      </c>
      <c r="C808" t="s">
        <v>74</v>
      </c>
      <c r="D808" t="s">
        <v>74</v>
      </c>
      <c r="E808" t="s">
        <v>74</v>
      </c>
      <c r="F808" t="s">
        <v>9803</v>
      </c>
      <c r="G808" t="s">
        <v>74</v>
      </c>
      <c r="H808" t="s">
        <v>74</v>
      </c>
      <c r="I808" t="s">
        <v>9804</v>
      </c>
      <c r="J808" t="s">
        <v>9805</v>
      </c>
      <c r="K808" t="s">
        <v>74</v>
      </c>
      <c r="L808" t="s">
        <v>74</v>
      </c>
      <c r="M808" t="s">
        <v>77</v>
      </c>
      <c r="N808" t="s">
        <v>78</v>
      </c>
      <c r="O808" t="s">
        <v>74</v>
      </c>
      <c r="P808" t="s">
        <v>74</v>
      </c>
      <c r="Q808" t="s">
        <v>74</v>
      </c>
      <c r="R808" t="s">
        <v>74</v>
      </c>
      <c r="S808" t="s">
        <v>74</v>
      </c>
      <c r="T808" t="s">
        <v>74</v>
      </c>
      <c r="U808" t="s">
        <v>9806</v>
      </c>
      <c r="V808" t="s">
        <v>9807</v>
      </c>
      <c r="W808" t="s">
        <v>9808</v>
      </c>
      <c r="X808" t="s">
        <v>3239</v>
      </c>
      <c r="Y808" t="s">
        <v>9809</v>
      </c>
      <c r="Z808" t="s">
        <v>74</v>
      </c>
      <c r="AA808" t="s">
        <v>9810</v>
      </c>
      <c r="AB808" t="s">
        <v>9811</v>
      </c>
      <c r="AC808" t="s">
        <v>74</v>
      </c>
      <c r="AD808" t="s">
        <v>74</v>
      </c>
      <c r="AE808" t="s">
        <v>74</v>
      </c>
      <c r="AF808" t="s">
        <v>74</v>
      </c>
      <c r="AG808">
        <v>18</v>
      </c>
      <c r="AH808">
        <v>39</v>
      </c>
      <c r="AI808">
        <v>40</v>
      </c>
      <c r="AJ808">
        <v>0</v>
      </c>
      <c r="AK808">
        <v>6</v>
      </c>
      <c r="AL808" t="s">
        <v>627</v>
      </c>
      <c r="AM808" t="s">
        <v>628</v>
      </c>
      <c r="AN808" t="s">
        <v>8550</v>
      </c>
      <c r="AO808" t="s">
        <v>9812</v>
      </c>
      <c r="AP808" t="s">
        <v>74</v>
      </c>
      <c r="AQ808" t="s">
        <v>74</v>
      </c>
      <c r="AR808" t="s">
        <v>9813</v>
      </c>
      <c r="AS808" t="s">
        <v>9814</v>
      </c>
      <c r="AT808" t="s">
        <v>9766</v>
      </c>
      <c r="AU808">
        <v>1997</v>
      </c>
      <c r="AV808">
        <v>54</v>
      </c>
      <c r="AW808">
        <v>18</v>
      </c>
      <c r="AX808" t="s">
        <v>74</v>
      </c>
      <c r="AY808" t="s">
        <v>74</v>
      </c>
      <c r="AZ808" t="s">
        <v>74</v>
      </c>
      <c r="BA808" t="s">
        <v>74</v>
      </c>
      <c r="BB808">
        <v>2308</v>
      </c>
      <c r="BC808">
        <v>2319</v>
      </c>
      <c r="BD808" t="s">
        <v>74</v>
      </c>
      <c r="BE808" t="s">
        <v>9815</v>
      </c>
      <c r="BF808" t="str">
        <f>HYPERLINK("http://dx.doi.org/10.1175/1520-0469(1997)054&lt;2308:IVOTAO&gt;2.0.CO;2","http://dx.doi.org/10.1175/1520-0469(1997)054&lt;2308:IVOTAO&gt;2.0.CO;2")</f>
        <v>http://dx.doi.org/10.1175/1520-0469(1997)054&lt;2308:IVOTAO&gt;2.0.CO;2</v>
      </c>
      <c r="BG808" t="s">
        <v>74</v>
      </c>
      <c r="BH808" t="s">
        <v>74</v>
      </c>
      <c r="BI808">
        <v>12</v>
      </c>
      <c r="BJ808" t="s">
        <v>635</v>
      </c>
      <c r="BK808" t="s">
        <v>98</v>
      </c>
      <c r="BL808" t="s">
        <v>635</v>
      </c>
      <c r="BM808" t="s">
        <v>9816</v>
      </c>
      <c r="BN808" t="s">
        <v>74</v>
      </c>
      <c r="BO808" t="s">
        <v>100</v>
      </c>
      <c r="BP808" t="s">
        <v>74</v>
      </c>
      <c r="BQ808" t="s">
        <v>74</v>
      </c>
      <c r="BR808" t="s">
        <v>101</v>
      </c>
      <c r="BS808" t="s">
        <v>9817</v>
      </c>
      <c r="BT808" t="str">
        <f>HYPERLINK("https%3A%2F%2Fwww.webofscience.com%2Fwos%2Fwoscc%2Ffull-record%2FWOS:A1997XW33900005","View Full Record in Web of Science")</f>
        <v>View Full Record in Web of Science</v>
      </c>
    </row>
    <row r="809" spans="1:72" x14ac:dyDescent="0.15">
      <c r="A809" t="s">
        <v>72</v>
      </c>
      <c r="B809" t="s">
        <v>9818</v>
      </c>
      <c r="C809" t="s">
        <v>74</v>
      </c>
      <c r="D809" t="s">
        <v>74</v>
      </c>
      <c r="E809" t="s">
        <v>74</v>
      </c>
      <c r="F809" t="s">
        <v>9818</v>
      </c>
      <c r="G809" t="s">
        <v>74</v>
      </c>
      <c r="H809" t="s">
        <v>74</v>
      </c>
      <c r="I809" t="s">
        <v>9819</v>
      </c>
      <c r="J809" t="s">
        <v>1041</v>
      </c>
      <c r="K809" t="s">
        <v>74</v>
      </c>
      <c r="L809" t="s">
        <v>74</v>
      </c>
      <c r="M809" t="s">
        <v>77</v>
      </c>
      <c r="N809" t="s">
        <v>78</v>
      </c>
      <c r="O809" t="s">
        <v>74</v>
      </c>
      <c r="P809" t="s">
        <v>74</v>
      </c>
      <c r="Q809" t="s">
        <v>74</v>
      </c>
      <c r="R809" t="s">
        <v>74</v>
      </c>
      <c r="S809" t="s">
        <v>74</v>
      </c>
      <c r="T809" t="s">
        <v>74</v>
      </c>
      <c r="U809" t="s">
        <v>9820</v>
      </c>
      <c r="V809" t="s">
        <v>9821</v>
      </c>
      <c r="W809" t="s">
        <v>9822</v>
      </c>
      <c r="X809" t="s">
        <v>9823</v>
      </c>
      <c r="Y809" t="s">
        <v>9824</v>
      </c>
      <c r="Z809" t="s">
        <v>74</v>
      </c>
      <c r="AA809" t="s">
        <v>9825</v>
      </c>
      <c r="AB809" t="s">
        <v>74</v>
      </c>
      <c r="AC809" t="s">
        <v>74</v>
      </c>
      <c r="AD809" t="s">
        <v>74</v>
      </c>
      <c r="AE809" t="s">
        <v>74</v>
      </c>
      <c r="AF809" t="s">
        <v>74</v>
      </c>
      <c r="AG809">
        <v>39</v>
      </c>
      <c r="AH809">
        <v>16</v>
      </c>
      <c r="AI809">
        <v>17</v>
      </c>
      <c r="AJ809">
        <v>0</v>
      </c>
      <c r="AK809">
        <v>4</v>
      </c>
      <c r="AL809" t="s">
        <v>707</v>
      </c>
      <c r="AM809" t="s">
        <v>88</v>
      </c>
      <c r="AN809" t="s">
        <v>8903</v>
      </c>
      <c r="AO809" t="s">
        <v>1048</v>
      </c>
      <c r="AP809" t="s">
        <v>74</v>
      </c>
      <c r="AQ809" t="s">
        <v>74</v>
      </c>
      <c r="AR809" t="s">
        <v>1049</v>
      </c>
      <c r="AS809" t="s">
        <v>1050</v>
      </c>
      <c r="AT809" t="s">
        <v>9826</v>
      </c>
      <c r="AU809">
        <v>1997</v>
      </c>
      <c r="AV809">
        <v>101</v>
      </c>
      <c r="AW809">
        <v>37</v>
      </c>
      <c r="AX809" t="s">
        <v>74</v>
      </c>
      <c r="AY809" t="s">
        <v>74</v>
      </c>
      <c r="AZ809" t="s">
        <v>74</v>
      </c>
      <c r="BA809" t="s">
        <v>74</v>
      </c>
      <c r="BB809">
        <v>6922</v>
      </c>
      <c r="BC809">
        <v>6930</v>
      </c>
      <c r="BD809" t="s">
        <v>74</v>
      </c>
      <c r="BE809" t="s">
        <v>9827</v>
      </c>
      <c r="BF809" t="str">
        <f>HYPERLINK("http://dx.doi.org/10.1021/jp970860a","http://dx.doi.org/10.1021/jp970860a")</f>
        <v>http://dx.doi.org/10.1021/jp970860a</v>
      </c>
      <c r="BG809" t="s">
        <v>74</v>
      </c>
      <c r="BH809" t="s">
        <v>74</v>
      </c>
      <c r="BI809">
        <v>9</v>
      </c>
      <c r="BJ809" t="s">
        <v>1052</v>
      </c>
      <c r="BK809" t="s">
        <v>98</v>
      </c>
      <c r="BL809" t="s">
        <v>1053</v>
      </c>
      <c r="BM809" t="s">
        <v>9828</v>
      </c>
      <c r="BN809" t="s">
        <v>74</v>
      </c>
      <c r="BO809" t="s">
        <v>1351</v>
      </c>
      <c r="BP809" t="s">
        <v>74</v>
      </c>
      <c r="BQ809" t="s">
        <v>74</v>
      </c>
      <c r="BR809" t="s">
        <v>101</v>
      </c>
      <c r="BS809" t="s">
        <v>9829</v>
      </c>
      <c r="BT809" t="str">
        <f>HYPERLINK("https%3A%2F%2Fwww.webofscience.com%2Fwos%2Fwoscc%2Ffull-record%2FWOS:A1997XW31500017","View Full Record in Web of Science")</f>
        <v>View Full Record in Web of Science</v>
      </c>
    </row>
    <row r="810" spans="1:72" x14ac:dyDescent="0.15">
      <c r="A810" t="s">
        <v>72</v>
      </c>
      <c r="B810" t="s">
        <v>9830</v>
      </c>
      <c r="C810" t="s">
        <v>74</v>
      </c>
      <c r="D810" t="s">
        <v>74</v>
      </c>
      <c r="E810" t="s">
        <v>74</v>
      </c>
      <c r="F810" t="s">
        <v>9830</v>
      </c>
      <c r="G810" t="s">
        <v>74</v>
      </c>
      <c r="H810" t="s">
        <v>74</v>
      </c>
      <c r="I810" t="s">
        <v>9831</v>
      </c>
      <c r="J810" t="s">
        <v>4530</v>
      </c>
      <c r="K810" t="s">
        <v>74</v>
      </c>
      <c r="L810" t="s">
        <v>74</v>
      </c>
      <c r="M810" t="s">
        <v>77</v>
      </c>
      <c r="N810" t="s">
        <v>379</v>
      </c>
      <c r="O810" t="s">
        <v>9832</v>
      </c>
      <c r="P810" t="s">
        <v>9833</v>
      </c>
      <c r="Q810" t="s">
        <v>9834</v>
      </c>
      <c r="R810" t="s">
        <v>74</v>
      </c>
      <c r="S810" t="s">
        <v>9835</v>
      </c>
      <c r="T810" t="s">
        <v>9836</v>
      </c>
      <c r="U810" t="s">
        <v>9837</v>
      </c>
      <c r="V810" t="s">
        <v>9838</v>
      </c>
      <c r="W810" t="s">
        <v>74</v>
      </c>
      <c r="X810" t="s">
        <v>74</v>
      </c>
      <c r="Y810" t="s">
        <v>9839</v>
      </c>
      <c r="Z810" t="s">
        <v>74</v>
      </c>
      <c r="AA810" t="s">
        <v>74</v>
      </c>
      <c r="AB810" t="s">
        <v>74</v>
      </c>
      <c r="AC810" t="s">
        <v>74</v>
      </c>
      <c r="AD810" t="s">
        <v>74</v>
      </c>
      <c r="AE810" t="s">
        <v>74</v>
      </c>
      <c r="AF810" t="s">
        <v>74</v>
      </c>
      <c r="AG810">
        <v>70</v>
      </c>
      <c r="AH810">
        <v>6</v>
      </c>
      <c r="AI810">
        <v>6</v>
      </c>
      <c r="AJ810">
        <v>1</v>
      </c>
      <c r="AK810">
        <v>8</v>
      </c>
      <c r="AL810" t="s">
        <v>854</v>
      </c>
      <c r="AM810" t="s">
        <v>855</v>
      </c>
      <c r="AN810" t="s">
        <v>856</v>
      </c>
      <c r="AO810" t="s">
        <v>4538</v>
      </c>
      <c r="AP810" t="s">
        <v>74</v>
      </c>
      <c r="AQ810" t="s">
        <v>74</v>
      </c>
      <c r="AR810" t="s">
        <v>4530</v>
      </c>
      <c r="AS810" t="s">
        <v>4540</v>
      </c>
      <c r="AT810" t="s">
        <v>9840</v>
      </c>
      <c r="AU810">
        <v>1997</v>
      </c>
      <c r="AV810">
        <v>352</v>
      </c>
      <c r="AW810" t="s">
        <v>74</v>
      </c>
      <c r="AX810" t="s">
        <v>74</v>
      </c>
      <c r="AY810" t="s">
        <v>74</v>
      </c>
      <c r="AZ810" t="s">
        <v>74</v>
      </c>
      <c r="BA810" t="s">
        <v>74</v>
      </c>
      <c r="BB810">
        <v>181</v>
      </c>
      <c r="BC810">
        <v>193</v>
      </c>
      <c r="BD810" t="s">
        <v>74</v>
      </c>
      <c r="BE810" t="s">
        <v>9841</v>
      </c>
      <c r="BF810" t="str">
        <f>HYPERLINK("http://dx.doi.org/10.1023/A:1003011019690","http://dx.doi.org/10.1023/A:1003011019690")</f>
        <v>http://dx.doi.org/10.1023/A:1003011019690</v>
      </c>
      <c r="BG810" t="s">
        <v>74</v>
      </c>
      <c r="BH810" t="s">
        <v>74</v>
      </c>
      <c r="BI810">
        <v>13</v>
      </c>
      <c r="BJ810" t="s">
        <v>1802</v>
      </c>
      <c r="BK810" t="s">
        <v>397</v>
      </c>
      <c r="BL810" t="s">
        <v>1802</v>
      </c>
      <c r="BM810" t="s">
        <v>9842</v>
      </c>
      <c r="BN810" t="s">
        <v>74</v>
      </c>
      <c r="BO810" t="s">
        <v>74</v>
      </c>
      <c r="BP810" t="s">
        <v>74</v>
      </c>
      <c r="BQ810" t="s">
        <v>74</v>
      </c>
      <c r="BR810" t="s">
        <v>101</v>
      </c>
      <c r="BS810" t="s">
        <v>9843</v>
      </c>
      <c r="BT810" t="str">
        <f>HYPERLINK("https%3A%2F%2Fwww.webofscience.com%2Fwos%2Fwoscc%2Ffull-record%2FWOS:A1997YK76300019","View Full Record in Web of Science")</f>
        <v>View Full Record in Web of Science</v>
      </c>
    </row>
    <row r="811" spans="1:72" x14ac:dyDescent="0.15">
      <c r="A811" t="s">
        <v>72</v>
      </c>
      <c r="B811" t="s">
        <v>9844</v>
      </c>
      <c r="C811" t="s">
        <v>74</v>
      </c>
      <c r="D811" t="s">
        <v>74</v>
      </c>
      <c r="E811" t="s">
        <v>74</v>
      </c>
      <c r="F811" t="s">
        <v>9844</v>
      </c>
      <c r="G811" t="s">
        <v>74</v>
      </c>
      <c r="H811" t="s">
        <v>74</v>
      </c>
      <c r="I811" t="s">
        <v>9845</v>
      </c>
      <c r="J811" t="s">
        <v>1041</v>
      </c>
      <c r="K811" t="s">
        <v>74</v>
      </c>
      <c r="L811" t="s">
        <v>74</v>
      </c>
      <c r="M811" t="s">
        <v>77</v>
      </c>
      <c r="N811" t="s">
        <v>78</v>
      </c>
      <c r="O811" t="s">
        <v>74</v>
      </c>
      <c r="P811" t="s">
        <v>74</v>
      </c>
      <c r="Q811" t="s">
        <v>74</v>
      </c>
      <c r="R811" t="s">
        <v>74</v>
      </c>
      <c r="S811" t="s">
        <v>74</v>
      </c>
      <c r="T811" t="s">
        <v>74</v>
      </c>
      <c r="U811" t="s">
        <v>9846</v>
      </c>
      <c r="V811" t="s">
        <v>9847</v>
      </c>
      <c r="W811" t="s">
        <v>9848</v>
      </c>
      <c r="X811" t="s">
        <v>9849</v>
      </c>
      <c r="Y811" t="s">
        <v>74</v>
      </c>
      <c r="Z811" t="s">
        <v>74</v>
      </c>
      <c r="AA811" t="s">
        <v>9825</v>
      </c>
      <c r="AB811" t="s">
        <v>74</v>
      </c>
      <c r="AC811" t="s">
        <v>74</v>
      </c>
      <c r="AD811" t="s">
        <v>74</v>
      </c>
      <c r="AE811" t="s">
        <v>74</v>
      </c>
      <c r="AF811" t="s">
        <v>74</v>
      </c>
      <c r="AG811">
        <v>70</v>
      </c>
      <c r="AH811">
        <v>25</v>
      </c>
      <c r="AI811">
        <v>29</v>
      </c>
      <c r="AJ811">
        <v>0</v>
      </c>
      <c r="AK811">
        <v>8</v>
      </c>
      <c r="AL811" t="s">
        <v>707</v>
      </c>
      <c r="AM811" t="s">
        <v>88</v>
      </c>
      <c r="AN811" t="s">
        <v>8903</v>
      </c>
      <c r="AO811" t="s">
        <v>1048</v>
      </c>
      <c r="AP811" t="s">
        <v>74</v>
      </c>
      <c r="AQ811" t="s">
        <v>74</v>
      </c>
      <c r="AR811" t="s">
        <v>1049</v>
      </c>
      <c r="AS811" t="s">
        <v>1050</v>
      </c>
      <c r="AT811" t="s">
        <v>9850</v>
      </c>
      <c r="AU811">
        <v>1997</v>
      </c>
      <c r="AV811">
        <v>101</v>
      </c>
      <c r="AW811">
        <v>36</v>
      </c>
      <c r="AX811" t="s">
        <v>74</v>
      </c>
      <c r="AY811" t="s">
        <v>74</v>
      </c>
      <c r="AZ811" t="s">
        <v>74</v>
      </c>
      <c r="BA811" t="s">
        <v>74</v>
      </c>
      <c r="BB811">
        <v>6485</v>
      </c>
      <c r="BC811">
        <v>6495</v>
      </c>
      <c r="BD811" t="s">
        <v>74</v>
      </c>
      <c r="BE811" t="s">
        <v>9851</v>
      </c>
      <c r="BF811" t="str">
        <f>HYPERLINK("http://dx.doi.org/10.1021/jp970859b","http://dx.doi.org/10.1021/jp970859b")</f>
        <v>http://dx.doi.org/10.1021/jp970859b</v>
      </c>
      <c r="BG811" t="s">
        <v>74</v>
      </c>
      <c r="BH811" t="s">
        <v>74</v>
      </c>
      <c r="BI811">
        <v>11</v>
      </c>
      <c r="BJ811" t="s">
        <v>1052</v>
      </c>
      <c r="BK811" t="s">
        <v>98</v>
      </c>
      <c r="BL811" t="s">
        <v>1053</v>
      </c>
      <c r="BM811" t="s">
        <v>9852</v>
      </c>
      <c r="BN811" t="s">
        <v>74</v>
      </c>
      <c r="BO811" t="s">
        <v>1351</v>
      </c>
      <c r="BP811" t="s">
        <v>74</v>
      </c>
      <c r="BQ811" t="s">
        <v>74</v>
      </c>
      <c r="BR811" t="s">
        <v>101</v>
      </c>
      <c r="BS811" t="s">
        <v>9853</v>
      </c>
      <c r="BT811" t="str">
        <f>HYPERLINK("https%3A%2F%2Fwww.webofscience.com%2Fwos%2Fwoscc%2Ffull-record%2FWOS:A1997XV73400015","View Full Record in Web of Science")</f>
        <v>View Full Record in Web of Science</v>
      </c>
    </row>
    <row r="812" spans="1:72" x14ac:dyDescent="0.15">
      <c r="A812" t="s">
        <v>72</v>
      </c>
      <c r="B812" t="s">
        <v>9854</v>
      </c>
      <c r="C812" t="s">
        <v>74</v>
      </c>
      <c r="D812" t="s">
        <v>74</v>
      </c>
      <c r="E812" t="s">
        <v>74</v>
      </c>
      <c r="F812" t="s">
        <v>9854</v>
      </c>
      <c r="G812" t="s">
        <v>74</v>
      </c>
      <c r="H812" t="s">
        <v>74</v>
      </c>
      <c r="I812" t="s">
        <v>9855</v>
      </c>
      <c r="J812" t="s">
        <v>1041</v>
      </c>
      <c r="K812" t="s">
        <v>74</v>
      </c>
      <c r="L812" t="s">
        <v>74</v>
      </c>
      <c r="M812" t="s">
        <v>77</v>
      </c>
      <c r="N812" t="s">
        <v>78</v>
      </c>
      <c r="O812" t="s">
        <v>74</v>
      </c>
      <c r="P812" t="s">
        <v>74</v>
      </c>
      <c r="Q812" t="s">
        <v>74</v>
      </c>
      <c r="R812" t="s">
        <v>74</v>
      </c>
      <c r="S812" t="s">
        <v>74</v>
      </c>
      <c r="T812" t="s">
        <v>74</v>
      </c>
      <c r="U812" t="s">
        <v>9856</v>
      </c>
      <c r="V812" t="s">
        <v>9857</v>
      </c>
      <c r="W812" t="s">
        <v>9858</v>
      </c>
      <c r="X812" t="s">
        <v>9859</v>
      </c>
      <c r="Y812" t="s">
        <v>74</v>
      </c>
      <c r="Z812" t="s">
        <v>74</v>
      </c>
      <c r="AA812" t="s">
        <v>9860</v>
      </c>
      <c r="AB812" t="s">
        <v>9861</v>
      </c>
      <c r="AC812" t="s">
        <v>74</v>
      </c>
      <c r="AD812" t="s">
        <v>74</v>
      </c>
      <c r="AE812" t="s">
        <v>74</v>
      </c>
      <c r="AF812" t="s">
        <v>74</v>
      </c>
      <c r="AG812">
        <v>39</v>
      </c>
      <c r="AH812">
        <v>30</v>
      </c>
      <c r="AI812">
        <v>38</v>
      </c>
      <c r="AJ812">
        <v>0</v>
      </c>
      <c r="AK812">
        <v>4</v>
      </c>
      <c r="AL812" t="s">
        <v>707</v>
      </c>
      <c r="AM812" t="s">
        <v>88</v>
      </c>
      <c r="AN812" t="s">
        <v>708</v>
      </c>
      <c r="AO812" t="s">
        <v>1048</v>
      </c>
      <c r="AP812" t="s">
        <v>9862</v>
      </c>
      <c r="AQ812" t="s">
        <v>74</v>
      </c>
      <c r="AR812" t="s">
        <v>1049</v>
      </c>
      <c r="AS812" t="s">
        <v>1050</v>
      </c>
      <c r="AT812" t="s">
        <v>9850</v>
      </c>
      <c r="AU812">
        <v>1997</v>
      </c>
      <c r="AV812">
        <v>101</v>
      </c>
      <c r="AW812">
        <v>36</v>
      </c>
      <c r="AX812" t="s">
        <v>74</v>
      </c>
      <c r="AY812" t="s">
        <v>74</v>
      </c>
      <c r="AZ812" t="s">
        <v>74</v>
      </c>
      <c r="BA812" t="s">
        <v>74</v>
      </c>
      <c r="BB812">
        <v>6807</v>
      </c>
      <c r="BC812">
        <v>6812</v>
      </c>
      <c r="BD812" t="s">
        <v>74</v>
      </c>
      <c r="BE812" t="s">
        <v>9863</v>
      </c>
      <c r="BF812" t="str">
        <f>HYPERLINK("http://dx.doi.org/10.1021/jp970022g","http://dx.doi.org/10.1021/jp970022g")</f>
        <v>http://dx.doi.org/10.1021/jp970022g</v>
      </c>
      <c r="BG812" t="s">
        <v>74</v>
      </c>
      <c r="BH812" t="s">
        <v>74</v>
      </c>
      <c r="BI812">
        <v>6</v>
      </c>
      <c r="BJ812" t="s">
        <v>1052</v>
      </c>
      <c r="BK812" t="s">
        <v>98</v>
      </c>
      <c r="BL812" t="s">
        <v>1053</v>
      </c>
      <c r="BM812" t="s">
        <v>9852</v>
      </c>
      <c r="BN812" t="s">
        <v>74</v>
      </c>
      <c r="BO812" t="s">
        <v>74</v>
      </c>
      <c r="BP812" t="s">
        <v>74</v>
      </c>
      <c r="BQ812" t="s">
        <v>74</v>
      </c>
      <c r="BR812" t="s">
        <v>101</v>
      </c>
      <c r="BS812" t="s">
        <v>9864</v>
      </c>
      <c r="BT812" t="str">
        <f>HYPERLINK("https%3A%2F%2Fwww.webofscience.com%2Fwos%2Fwoscc%2Ffull-record%2FWOS:A1997XV73400058","View Full Record in Web of Science")</f>
        <v>View Full Record in Web of Science</v>
      </c>
    </row>
    <row r="813" spans="1:72" x14ac:dyDescent="0.15">
      <c r="A813" t="s">
        <v>72</v>
      </c>
      <c r="B813" t="s">
        <v>9865</v>
      </c>
      <c r="C813" t="s">
        <v>74</v>
      </c>
      <c r="D813" t="s">
        <v>74</v>
      </c>
      <c r="E813" t="s">
        <v>74</v>
      </c>
      <c r="F813" t="s">
        <v>9865</v>
      </c>
      <c r="G813" t="s">
        <v>74</v>
      </c>
      <c r="H813" t="s">
        <v>74</v>
      </c>
      <c r="I813" t="s">
        <v>9866</v>
      </c>
      <c r="J813" t="s">
        <v>192</v>
      </c>
      <c r="K813" t="s">
        <v>74</v>
      </c>
      <c r="L813" t="s">
        <v>74</v>
      </c>
      <c r="M813" t="s">
        <v>77</v>
      </c>
      <c r="N813" t="s">
        <v>212</v>
      </c>
      <c r="O813" t="s">
        <v>74</v>
      </c>
      <c r="P813" t="s">
        <v>74</v>
      </c>
      <c r="Q813" t="s">
        <v>74</v>
      </c>
      <c r="R813" t="s">
        <v>74</v>
      </c>
      <c r="S813" t="s">
        <v>74</v>
      </c>
      <c r="T813" t="s">
        <v>74</v>
      </c>
      <c r="U813" t="s">
        <v>9867</v>
      </c>
      <c r="V813" t="s">
        <v>74</v>
      </c>
      <c r="W813" t="s">
        <v>9868</v>
      </c>
      <c r="X813" t="s">
        <v>322</v>
      </c>
      <c r="Y813" t="s">
        <v>9869</v>
      </c>
      <c r="Z813" t="s">
        <v>74</v>
      </c>
      <c r="AA813" t="s">
        <v>74</v>
      </c>
      <c r="AB813" t="s">
        <v>74</v>
      </c>
      <c r="AC813" t="s">
        <v>74</v>
      </c>
      <c r="AD813" t="s">
        <v>74</v>
      </c>
      <c r="AE813" t="s">
        <v>74</v>
      </c>
      <c r="AF813" t="s">
        <v>74</v>
      </c>
      <c r="AG813">
        <v>15</v>
      </c>
      <c r="AH813">
        <v>3</v>
      </c>
      <c r="AI813">
        <v>3</v>
      </c>
      <c r="AJ813">
        <v>0</v>
      </c>
      <c r="AK813">
        <v>5</v>
      </c>
      <c r="AL813" t="s">
        <v>200</v>
      </c>
      <c r="AM813" t="s">
        <v>201</v>
      </c>
      <c r="AN813" t="s">
        <v>202</v>
      </c>
      <c r="AO813" t="s">
        <v>203</v>
      </c>
      <c r="AP813" t="s">
        <v>74</v>
      </c>
      <c r="AQ813" t="s">
        <v>74</v>
      </c>
      <c r="AR813" t="s">
        <v>192</v>
      </c>
      <c r="AS813" t="s">
        <v>204</v>
      </c>
      <c r="AT813" t="s">
        <v>9850</v>
      </c>
      <c r="AU813">
        <v>1997</v>
      </c>
      <c r="AV813">
        <v>389</v>
      </c>
      <c r="AW813">
        <v>6646</v>
      </c>
      <c r="AX813" t="s">
        <v>74</v>
      </c>
      <c r="AY813" t="s">
        <v>74</v>
      </c>
      <c r="AZ813" t="s">
        <v>74</v>
      </c>
      <c r="BA813" t="s">
        <v>74</v>
      </c>
      <c r="BB813">
        <v>20</v>
      </c>
      <c r="BC813">
        <v>21</v>
      </c>
      <c r="BD813" t="s">
        <v>74</v>
      </c>
      <c r="BE813" t="s">
        <v>9870</v>
      </c>
      <c r="BF813" t="str">
        <f>HYPERLINK("http://dx.doi.org/10.1038/37876","http://dx.doi.org/10.1038/37876")</f>
        <v>http://dx.doi.org/10.1038/37876</v>
      </c>
      <c r="BG813" t="s">
        <v>74</v>
      </c>
      <c r="BH813" t="s">
        <v>74</v>
      </c>
      <c r="BI813">
        <v>2</v>
      </c>
      <c r="BJ813" t="s">
        <v>186</v>
      </c>
      <c r="BK813" t="s">
        <v>98</v>
      </c>
      <c r="BL813" t="s">
        <v>187</v>
      </c>
      <c r="BM813" t="s">
        <v>9871</v>
      </c>
      <c r="BN813" t="s">
        <v>74</v>
      </c>
      <c r="BO813" t="s">
        <v>100</v>
      </c>
      <c r="BP813" t="s">
        <v>74</v>
      </c>
      <c r="BQ813" t="s">
        <v>74</v>
      </c>
      <c r="BR813" t="s">
        <v>101</v>
      </c>
      <c r="BS813" t="s">
        <v>9872</v>
      </c>
      <c r="BT813" t="str">
        <f>HYPERLINK("https%3A%2F%2Fwww.webofscience.com%2Fwos%2Fwoscc%2Ffull-record%2FWOS:A1997XU59600023","View Full Record in Web of Science")</f>
        <v>View Full Record in Web of Science</v>
      </c>
    </row>
    <row r="814" spans="1:72" x14ac:dyDescent="0.15">
      <c r="A814" t="s">
        <v>72</v>
      </c>
      <c r="B814" t="s">
        <v>9873</v>
      </c>
      <c r="C814" t="s">
        <v>74</v>
      </c>
      <c r="D814" t="s">
        <v>74</v>
      </c>
      <c r="E814" t="s">
        <v>74</v>
      </c>
      <c r="F814" t="s">
        <v>9873</v>
      </c>
      <c r="G814" t="s">
        <v>74</v>
      </c>
      <c r="H814" t="s">
        <v>74</v>
      </c>
      <c r="I814" t="s">
        <v>9874</v>
      </c>
      <c r="J814" t="s">
        <v>192</v>
      </c>
      <c r="K814" t="s">
        <v>74</v>
      </c>
      <c r="L814" t="s">
        <v>74</v>
      </c>
      <c r="M814" t="s">
        <v>77</v>
      </c>
      <c r="N814" t="s">
        <v>78</v>
      </c>
      <c r="O814" t="s">
        <v>74</v>
      </c>
      <c r="P814" t="s">
        <v>74</v>
      </c>
      <c r="Q814" t="s">
        <v>74</v>
      </c>
      <c r="R814" t="s">
        <v>74</v>
      </c>
      <c r="S814" t="s">
        <v>74</v>
      </c>
      <c r="T814" t="s">
        <v>74</v>
      </c>
      <c r="U814" t="s">
        <v>9875</v>
      </c>
      <c r="V814" t="s">
        <v>9876</v>
      </c>
      <c r="W814" t="s">
        <v>74</v>
      </c>
      <c r="X814" t="s">
        <v>74</v>
      </c>
      <c r="Y814" t="s">
        <v>9877</v>
      </c>
      <c r="Z814" t="s">
        <v>74</v>
      </c>
      <c r="AA814" t="s">
        <v>74</v>
      </c>
      <c r="AB814" t="s">
        <v>74</v>
      </c>
      <c r="AC814" t="s">
        <v>74</v>
      </c>
      <c r="AD814" t="s">
        <v>74</v>
      </c>
      <c r="AE814" t="s">
        <v>74</v>
      </c>
      <c r="AF814" t="s">
        <v>74</v>
      </c>
      <c r="AG814">
        <v>16</v>
      </c>
      <c r="AH814">
        <v>192</v>
      </c>
      <c r="AI814">
        <v>206</v>
      </c>
      <c r="AJ814">
        <v>0</v>
      </c>
      <c r="AK814">
        <v>35</v>
      </c>
      <c r="AL814" t="s">
        <v>200</v>
      </c>
      <c r="AM814" t="s">
        <v>201</v>
      </c>
      <c r="AN814" t="s">
        <v>202</v>
      </c>
      <c r="AO814" t="s">
        <v>203</v>
      </c>
      <c r="AP814" t="s">
        <v>74</v>
      </c>
      <c r="AQ814" t="s">
        <v>74</v>
      </c>
      <c r="AR814" t="s">
        <v>192</v>
      </c>
      <c r="AS814" t="s">
        <v>204</v>
      </c>
      <c r="AT814" t="s">
        <v>9850</v>
      </c>
      <c r="AU814">
        <v>1997</v>
      </c>
      <c r="AV814">
        <v>389</v>
      </c>
      <c r="AW814">
        <v>6646</v>
      </c>
      <c r="AX814" t="s">
        <v>74</v>
      </c>
      <c r="AY814" t="s">
        <v>74</v>
      </c>
      <c r="AZ814" t="s">
        <v>74</v>
      </c>
      <c r="BA814" t="s">
        <v>74</v>
      </c>
      <c r="BB814">
        <v>57</v>
      </c>
      <c r="BC814">
        <v>60</v>
      </c>
      <c r="BD814" t="s">
        <v>74</v>
      </c>
      <c r="BE814" t="s">
        <v>9878</v>
      </c>
      <c r="BF814" t="str">
        <f>HYPERLINK("http://dx.doi.org/10.1038/37956","http://dx.doi.org/10.1038/37956")</f>
        <v>http://dx.doi.org/10.1038/37956</v>
      </c>
      <c r="BG814" t="s">
        <v>74</v>
      </c>
      <c r="BH814" t="s">
        <v>74</v>
      </c>
      <c r="BI814">
        <v>4</v>
      </c>
      <c r="BJ814" t="s">
        <v>186</v>
      </c>
      <c r="BK814" t="s">
        <v>98</v>
      </c>
      <c r="BL814" t="s">
        <v>187</v>
      </c>
      <c r="BM814" t="s">
        <v>9871</v>
      </c>
      <c r="BN814" t="s">
        <v>74</v>
      </c>
      <c r="BO814" t="s">
        <v>74</v>
      </c>
      <c r="BP814" t="s">
        <v>74</v>
      </c>
      <c r="BQ814" t="s">
        <v>74</v>
      </c>
      <c r="BR814" t="s">
        <v>101</v>
      </c>
      <c r="BS814" t="s">
        <v>9879</v>
      </c>
      <c r="BT814" t="str">
        <f>HYPERLINK("https%3A%2F%2Fwww.webofscience.com%2Fwos%2Fwoscc%2Ffull-record%2FWOS:A1997XU59600042","View Full Record in Web of Science")</f>
        <v>View Full Record in Web of Science</v>
      </c>
    </row>
    <row r="815" spans="1:72" x14ac:dyDescent="0.15">
      <c r="A815" t="s">
        <v>72</v>
      </c>
      <c r="B815" t="s">
        <v>9880</v>
      </c>
      <c r="C815" t="s">
        <v>74</v>
      </c>
      <c r="D815" t="s">
        <v>74</v>
      </c>
      <c r="E815" t="s">
        <v>74</v>
      </c>
      <c r="F815" t="s">
        <v>9880</v>
      </c>
      <c r="G815" t="s">
        <v>74</v>
      </c>
      <c r="H815" t="s">
        <v>74</v>
      </c>
      <c r="I815" t="s">
        <v>9881</v>
      </c>
      <c r="J815" t="s">
        <v>9882</v>
      </c>
      <c r="K815" t="s">
        <v>74</v>
      </c>
      <c r="L815" t="s">
        <v>74</v>
      </c>
      <c r="M815" t="s">
        <v>77</v>
      </c>
      <c r="N815" t="s">
        <v>78</v>
      </c>
      <c r="O815" t="s">
        <v>74</v>
      </c>
      <c r="P815" t="s">
        <v>74</v>
      </c>
      <c r="Q815" t="s">
        <v>74</v>
      </c>
      <c r="R815" t="s">
        <v>74</v>
      </c>
      <c r="S815" t="s">
        <v>74</v>
      </c>
      <c r="T815" t="s">
        <v>74</v>
      </c>
      <c r="U815" t="s">
        <v>9883</v>
      </c>
      <c r="V815" t="s">
        <v>74</v>
      </c>
      <c r="W815" t="s">
        <v>9884</v>
      </c>
      <c r="X815" t="s">
        <v>7531</v>
      </c>
      <c r="Y815" t="s">
        <v>74</v>
      </c>
      <c r="Z815" t="s">
        <v>74</v>
      </c>
      <c r="AA815" t="s">
        <v>74</v>
      </c>
      <c r="AB815" t="s">
        <v>74</v>
      </c>
      <c r="AC815" t="s">
        <v>74</v>
      </c>
      <c r="AD815" t="s">
        <v>74</v>
      </c>
      <c r="AE815" t="s">
        <v>74</v>
      </c>
      <c r="AF815" t="s">
        <v>74</v>
      </c>
      <c r="AG815">
        <v>8</v>
      </c>
      <c r="AH815">
        <v>20</v>
      </c>
      <c r="AI815">
        <v>21</v>
      </c>
      <c r="AJ815">
        <v>0</v>
      </c>
      <c r="AK815">
        <v>3</v>
      </c>
      <c r="AL815" t="s">
        <v>9885</v>
      </c>
      <c r="AM815" t="s">
        <v>9886</v>
      </c>
      <c r="AN815" t="s">
        <v>9887</v>
      </c>
      <c r="AO815" t="s">
        <v>9888</v>
      </c>
      <c r="AP815" t="s">
        <v>74</v>
      </c>
      <c r="AQ815" t="s">
        <v>74</v>
      </c>
      <c r="AR815" t="s">
        <v>9889</v>
      </c>
      <c r="AS815" t="s">
        <v>9890</v>
      </c>
      <c r="AT815" t="s">
        <v>9891</v>
      </c>
      <c r="AU815">
        <v>1997</v>
      </c>
      <c r="AV815">
        <v>85</v>
      </c>
      <c r="AW815">
        <v>5</v>
      </c>
      <c r="AX815" t="s">
        <v>74</v>
      </c>
      <c r="AY815" t="s">
        <v>74</v>
      </c>
      <c r="AZ815" t="s">
        <v>74</v>
      </c>
      <c r="BA815" t="s">
        <v>74</v>
      </c>
      <c r="BB815">
        <v>426</v>
      </c>
      <c r="BC815">
        <v>439</v>
      </c>
      <c r="BD815" t="s">
        <v>74</v>
      </c>
      <c r="BE815" t="s">
        <v>74</v>
      </c>
      <c r="BF815" t="s">
        <v>74</v>
      </c>
      <c r="BG815" t="s">
        <v>74</v>
      </c>
      <c r="BH815" t="s">
        <v>74</v>
      </c>
      <c r="BI815">
        <v>14</v>
      </c>
      <c r="BJ815" t="s">
        <v>186</v>
      </c>
      <c r="BK815" t="s">
        <v>98</v>
      </c>
      <c r="BL815" t="s">
        <v>187</v>
      </c>
      <c r="BM815" t="s">
        <v>9892</v>
      </c>
      <c r="BN815" t="s">
        <v>74</v>
      </c>
      <c r="BO815" t="s">
        <v>74</v>
      </c>
      <c r="BP815" t="s">
        <v>74</v>
      </c>
      <c r="BQ815" t="s">
        <v>74</v>
      </c>
      <c r="BR815" t="s">
        <v>101</v>
      </c>
      <c r="BS815" t="s">
        <v>9893</v>
      </c>
      <c r="BT815" t="str">
        <f>HYPERLINK("https%3A%2F%2Fwww.webofscience.com%2Fwos%2Fwoscc%2Ffull-record%2FWOS:A1997XQ27500011","View Full Record in Web of Science")</f>
        <v>View Full Record in Web of Science</v>
      </c>
    </row>
    <row r="816" spans="1:72" x14ac:dyDescent="0.15">
      <c r="A816" t="s">
        <v>72</v>
      </c>
      <c r="B816" t="s">
        <v>9894</v>
      </c>
      <c r="C816" t="s">
        <v>74</v>
      </c>
      <c r="D816" t="s">
        <v>74</v>
      </c>
      <c r="E816" t="s">
        <v>74</v>
      </c>
      <c r="F816" t="s">
        <v>9894</v>
      </c>
      <c r="G816" t="s">
        <v>74</v>
      </c>
      <c r="H816" t="s">
        <v>74</v>
      </c>
      <c r="I816" t="s">
        <v>9895</v>
      </c>
      <c r="J816" t="s">
        <v>9896</v>
      </c>
      <c r="K816" t="s">
        <v>74</v>
      </c>
      <c r="L816" t="s">
        <v>74</v>
      </c>
      <c r="M816" t="s">
        <v>77</v>
      </c>
      <c r="N816" t="s">
        <v>494</v>
      </c>
      <c r="O816" t="s">
        <v>74</v>
      </c>
      <c r="P816" t="s">
        <v>74</v>
      </c>
      <c r="Q816" t="s">
        <v>74</v>
      </c>
      <c r="R816" t="s">
        <v>74</v>
      </c>
      <c r="S816" t="s">
        <v>74</v>
      </c>
      <c r="T816" t="s">
        <v>74</v>
      </c>
      <c r="U816" t="s">
        <v>9897</v>
      </c>
      <c r="V816" t="s">
        <v>9898</v>
      </c>
      <c r="W816" t="s">
        <v>9899</v>
      </c>
      <c r="X816" t="s">
        <v>9900</v>
      </c>
      <c r="Y816" t="s">
        <v>9901</v>
      </c>
      <c r="Z816" t="s">
        <v>74</v>
      </c>
      <c r="AA816" t="s">
        <v>1738</v>
      </c>
      <c r="AB816" t="s">
        <v>74</v>
      </c>
      <c r="AC816" t="s">
        <v>74</v>
      </c>
      <c r="AD816" t="s">
        <v>74</v>
      </c>
      <c r="AE816" t="s">
        <v>74</v>
      </c>
      <c r="AF816" t="s">
        <v>74</v>
      </c>
      <c r="AG816">
        <v>99</v>
      </c>
      <c r="AH816">
        <v>85</v>
      </c>
      <c r="AI816">
        <v>91</v>
      </c>
      <c r="AJ816">
        <v>1</v>
      </c>
      <c r="AK816">
        <v>21</v>
      </c>
      <c r="AL816" t="s">
        <v>9902</v>
      </c>
      <c r="AM816" t="s">
        <v>9903</v>
      </c>
      <c r="AN816" t="s">
        <v>9904</v>
      </c>
      <c r="AO816" t="s">
        <v>9905</v>
      </c>
      <c r="AP816" t="s">
        <v>74</v>
      </c>
      <c r="AQ816" t="s">
        <v>74</v>
      </c>
      <c r="AR816" t="s">
        <v>9906</v>
      </c>
      <c r="AS816" t="s">
        <v>9907</v>
      </c>
      <c r="AT816" t="s">
        <v>9908</v>
      </c>
      <c r="AU816">
        <v>1997</v>
      </c>
      <c r="AV816">
        <v>37</v>
      </c>
      <c r="AW816">
        <v>4</v>
      </c>
      <c r="AX816" t="s">
        <v>74</v>
      </c>
      <c r="AY816" t="s">
        <v>74</v>
      </c>
      <c r="AZ816" t="s">
        <v>74</v>
      </c>
      <c r="BA816" t="s">
        <v>74</v>
      </c>
      <c r="BB816">
        <v>329</v>
      </c>
      <c r="BC816">
        <v>342</v>
      </c>
      <c r="BD816" t="s">
        <v>74</v>
      </c>
      <c r="BE816" t="s">
        <v>74</v>
      </c>
      <c r="BF816" t="s">
        <v>74</v>
      </c>
      <c r="BG816" t="s">
        <v>74</v>
      </c>
      <c r="BH816" t="s">
        <v>74</v>
      </c>
      <c r="BI816">
        <v>14</v>
      </c>
      <c r="BJ816" t="s">
        <v>417</v>
      </c>
      <c r="BK816" t="s">
        <v>98</v>
      </c>
      <c r="BL816" t="s">
        <v>417</v>
      </c>
      <c r="BM816" t="s">
        <v>9909</v>
      </c>
      <c r="BN816" t="s">
        <v>74</v>
      </c>
      <c r="BO816" t="s">
        <v>74</v>
      </c>
      <c r="BP816" t="s">
        <v>74</v>
      </c>
      <c r="BQ816" t="s">
        <v>74</v>
      </c>
      <c r="BR816" t="s">
        <v>101</v>
      </c>
      <c r="BS816" t="s">
        <v>9910</v>
      </c>
      <c r="BT816" t="str">
        <f>HYPERLINK("https%3A%2F%2Fwww.webofscience.com%2Fwos%2Fwoscc%2Ffull-record%2FWOS:A1997XZ28000001","View Full Record in Web of Science")</f>
        <v>View Full Record in Web of Science</v>
      </c>
    </row>
    <row r="817" spans="1:72" x14ac:dyDescent="0.15">
      <c r="A817" t="s">
        <v>72</v>
      </c>
      <c r="B817" t="s">
        <v>9911</v>
      </c>
      <c r="C817" t="s">
        <v>74</v>
      </c>
      <c r="D817" t="s">
        <v>74</v>
      </c>
      <c r="E817" t="s">
        <v>74</v>
      </c>
      <c r="F817" t="s">
        <v>9911</v>
      </c>
      <c r="G817" t="s">
        <v>74</v>
      </c>
      <c r="H817" t="s">
        <v>74</v>
      </c>
      <c r="I817" t="s">
        <v>9912</v>
      </c>
      <c r="J817" t="s">
        <v>1228</v>
      </c>
      <c r="K817" t="s">
        <v>74</v>
      </c>
      <c r="L817" t="s">
        <v>74</v>
      </c>
      <c r="M817" t="s">
        <v>77</v>
      </c>
      <c r="N817" t="s">
        <v>379</v>
      </c>
      <c r="O817" t="s">
        <v>9913</v>
      </c>
      <c r="P817" t="s">
        <v>9914</v>
      </c>
      <c r="Q817" t="s">
        <v>9915</v>
      </c>
      <c r="R817" t="s">
        <v>74</v>
      </c>
      <c r="S817" t="s">
        <v>9916</v>
      </c>
      <c r="T817" t="s">
        <v>74</v>
      </c>
      <c r="U817" t="s">
        <v>9917</v>
      </c>
      <c r="V817" t="s">
        <v>9918</v>
      </c>
      <c r="W817" t="s">
        <v>9919</v>
      </c>
      <c r="X817" t="s">
        <v>9920</v>
      </c>
      <c r="Y817" t="s">
        <v>9921</v>
      </c>
      <c r="Z817" t="s">
        <v>74</v>
      </c>
      <c r="AA817" t="s">
        <v>9922</v>
      </c>
      <c r="AB817" t="s">
        <v>9923</v>
      </c>
      <c r="AC817" t="s">
        <v>74</v>
      </c>
      <c r="AD817" t="s">
        <v>74</v>
      </c>
      <c r="AE817" t="s">
        <v>74</v>
      </c>
      <c r="AF817" t="s">
        <v>74</v>
      </c>
      <c r="AG817">
        <v>55</v>
      </c>
      <c r="AH817">
        <v>34</v>
      </c>
      <c r="AI817">
        <v>34</v>
      </c>
      <c r="AJ817">
        <v>0</v>
      </c>
      <c r="AK817">
        <v>4</v>
      </c>
      <c r="AL817" t="s">
        <v>914</v>
      </c>
      <c r="AM817" t="s">
        <v>244</v>
      </c>
      <c r="AN817" t="s">
        <v>1400</v>
      </c>
      <c r="AO817" t="s">
        <v>1238</v>
      </c>
      <c r="AP817" t="s">
        <v>74</v>
      </c>
      <c r="AQ817" t="s">
        <v>74</v>
      </c>
      <c r="AR817" t="s">
        <v>1239</v>
      </c>
      <c r="AS817" t="s">
        <v>1240</v>
      </c>
      <c r="AT817" t="s">
        <v>9908</v>
      </c>
      <c r="AU817">
        <v>1997</v>
      </c>
      <c r="AV817">
        <v>15</v>
      </c>
      <c r="AW817">
        <v>9</v>
      </c>
      <c r="AX817" t="s">
        <v>74</v>
      </c>
      <c r="AY817" t="s">
        <v>74</v>
      </c>
      <c r="AZ817" t="s">
        <v>74</v>
      </c>
      <c r="BA817" t="s">
        <v>74</v>
      </c>
      <c r="BB817">
        <v>1123</v>
      </c>
      <c r="BC817">
        <v>1141</v>
      </c>
      <c r="BD817" t="s">
        <v>74</v>
      </c>
      <c r="BE817" t="s">
        <v>9924</v>
      </c>
      <c r="BF817" t="str">
        <f>HYPERLINK("http://dx.doi.org/10.1007/s00585-997-1123-x","http://dx.doi.org/10.1007/s00585-997-1123-x")</f>
        <v>http://dx.doi.org/10.1007/s00585-997-1123-x</v>
      </c>
      <c r="BG817" t="s">
        <v>74</v>
      </c>
      <c r="BH817" t="s">
        <v>74</v>
      </c>
      <c r="BI817">
        <v>19</v>
      </c>
      <c r="BJ817" t="s">
        <v>1242</v>
      </c>
      <c r="BK817" t="s">
        <v>3943</v>
      </c>
      <c r="BL817" t="s">
        <v>1243</v>
      </c>
      <c r="BM817" t="s">
        <v>9925</v>
      </c>
      <c r="BN817" t="s">
        <v>74</v>
      </c>
      <c r="BO817" t="s">
        <v>1245</v>
      </c>
      <c r="BP817" t="s">
        <v>74</v>
      </c>
      <c r="BQ817" t="s">
        <v>74</v>
      </c>
      <c r="BR817" t="s">
        <v>101</v>
      </c>
      <c r="BS817" t="s">
        <v>9926</v>
      </c>
      <c r="BT817" t="str">
        <f>HYPERLINK("https%3A%2F%2Fwww.webofscience.com%2Fwos%2Fwoscc%2Ffull-record%2FWOS:A1997YF70400005","View Full Record in Web of Science")</f>
        <v>View Full Record in Web of Science</v>
      </c>
    </row>
    <row r="818" spans="1:72" x14ac:dyDescent="0.15">
      <c r="A818" t="s">
        <v>72</v>
      </c>
      <c r="B818" t="s">
        <v>9927</v>
      </c>
      <c r="C818" t="s">
        <v>74</v>
      </c>
      <c r="D818" t="s">
        <v>74</v>
      </c>
      <c r="E818" t="s">
        <v>74</v>
      </c>
      <c r="F818" t="s">
        <v>9927</v>
      </c>
      <c r="G818" t="s">
        <v>74</v>
      </c>
      <c r="H818" t="s">
        <v>74</v>
      </c>
      <c r="I818" t="s">
        <v>9928</v>
      </c>
      <c r="J818" t="s">
        <v>211</v>
      </c>
      <c r="K818" t="s">
        <v>74</v>
      </c>
      <c r="L818" t="s">
        <v>74</v>
      </c>
      <c r="M818" t="s">
        <v>77</v>
      </c>
      <c r="N818" t="s">
        <v>212</v>
      </c>
      <c r="O818" t="s">
        <v>74</v>
      </c>
      <c r="P818" t="s">
        <v>74</v>
      </c>
      <c r="Q818" t="s">
        <v>74</v>
      </c>
      <c r="R818" t="s">
        <v>74</v>
      </c>
      <c r="S818" t="s">
        <v>74</v>
      </c>
      <c r="T818" t="s">
        <v>74</v>
      </c>
      <c r="U818" t="s">
        <v>74</v>
      </c>
      <c r="V818" t="s">
        <v>74</v>
      </c>
      <c r="W818" t="s">
        <v>74</v>
      </c>
      <c r="X818" t="s">
        <v>74</v>
      </c>
      <c r="Y818" t="s">
        <v>9929</v>
      </c>
      <c r="Z818" t="s">
        <v>74</v>
      </c>
      <c r="AA818" t="s">
        <v>74</v>
      </c>
      <c r="AB818" t="s">
        <v>74</v>
      </c>
      <c r="AC818" t="s">
        <v>74</v>
      </c>
      <c r="AD818" t="s">
        <v>74</v>
      </c>
      <c r="AE818" t="s">
        <v>74</v>
      </c>
      <c r="AF818" t="s">
        <v>74</v>
      </c>
      <c r="AG818">
        <v>0</v>
      </c>
      <c r="AH818">
        <v>0</v>
      </c>
      <c r="AI818">
        <v>0</v>
      </c>
      <c r="AJ818">
        <v>0</v>
      </c>
      <c r="AK818">
        <v>0</v>
      </c>
      <c r="AL818" t="s">
        <v>213</v>
      </c>
      <c r="AM818" t="s">
        <v>214</v>
      </c>
      <c r="AN818" t="s">
        <v>9930</v>
      </c>
      <c r="AO818" t="s">
        <v>216</v>
      </c>
      <c r="AP818" t="s">
        <v>74</v>
      </c>
      <c r="AQ818" t="s">
        <v>74</v>
      </c>
      <c r="AR818" t="s">
        <v>217</v>
      </c>
      <c r="AS818" t="s">
        <v>218</v>
      </c>
      <c r="AT818" t="s">
        <v>9908</v>
      </c>
      <c r="AU818">
        <v>1997</v>
      </c>
      <c r="AV818">
        <v>9</v>
      </c>
      <c r="AW818">
        <v>3</v>
      </c>
      <c r="AX818" t="s">
        <v>74</v>
      </c>
      <c r="AY818" t="s">
        <v>74</v>
      </c>
      <c r="AZ818" t="s">
        <v>74</v>
      </c>
      <c r="BA818" t="s">
        <v>74</v>
      </c>
      <c r="BB818">
        <v>233</v>
      </c>
      <c r="BC818">
        <v>233</v>
      </c>
      <c r="BD818" t="s">
        <v>74</v>
      </c>
      <c r="BE818" t="s">
        <v>9931</v>
      </c>
      <c r="BF818" t="str">
        <f>HYPERLINK("http://dx.doi.org/10.1017/S0954102097000308","http://dx.doi.org/10.1017/S0954102097000308")</f>
        <v>http://dx.doi.org/10.1017/S0954102097000308</v>
      </c>
      <c r="BG818" t="s">
        <v>74</v>
      </c>
      <c r="BH818" t="s">
        <v>74</v>
      </c>
      <c r="BI818">
        <v>1</v>
      </c>
      <c r="BJ818" t="s">
        <v>220</v>
      </c>
      <c r="BK818" t="s">
        <v>98</v>
      </c>
      <c r="BL818" t="s">
        <v>221</v>
      </c>
      <c r="BM818" t="s">
        <v>9932</v>
      </c>
      <c r="BN818" t="s">
        <v>74</v>
      </c>
      <c r="BO818" t="s">
        <v>100</v>
      </c>
      <c r="BP818" t="s">
        <v>74</v>
      </c>
      <c r="BQ818" t="s">
        <v>74</v>
      </c>
      <c r="BR818" t="s">
        <v>101</v>
      </c>
      <c r="BS818" t="s">
        <v>9933</v>
      </c>
      <c r="BT818" t="str">
        <f>HYPERLINK("https%3A%2F%2Fwww.webofscience.com%2Fwos%2Fwoscc%2Ffull-record%2FWOS:A1997XV76100001","View Full Record in Web of Science")</f>
        <v>View Full Record in Web of Science</v>
      </c>
    </row>
    <row r="819" spans="1:72" x14ac:dyDescent="0.15">
      <c r="A819" t="s">
        <v>72</v>
      </c>
      <c r="B819" t="s">
        <v>9934</v>
      </c>
      <c r="C819" t="s">
        <v>74</v>
      </c>
      <c r="D819" t="s">
        <v>74</v>
      </c>
      <c r="E819" t="s">
        <v>74</v>
      </c>
      <c r="F819" t="s">
        <v>9934</v>
      </c>
      <c r="G819" t="s">
        <v>74</v>
      </c>
      <c r="H819" t="s">
        <v>74</v>
      </c>
      <c r="I819" t="s">
        <v>9935</v>
      </c>
      <c r="J819" t="s">
        <v>211</v>
      </c>
      <c r="K819" t="s">
        <v>74</v>
      </c>
      <c r="L819" t="s">
        <v>74</v>
      </c>
      <c r="M819" t="s">
        <v>77</v>
      </c>
      <c r="N819" t="s">
        <v>494</v>
      </c>
      <c r="O819" t="s">
        <v>74</v>
      </c>
      <c r="P819" t="s">
        <v>74</v>
      </c>
      <c r="Q819" t="s">
        <v>74</v>
      </c>
      <c r="R819" t="s">
        <v>74</v>
      </c>
      <c r="S819" t="s">
        <v>74</v>
      </c>
      <c r="T819" t="s">
        <v>9936</v>
      </c>
      <c r="U819" t="s">
        <v>74</v>
      </c>
      <c r="V819" t="s">
        <v>9937</v>
      </c>
      <c r="W819" t="s">
        <v>74</v>
      </c>
      <c r="X819" t="s">
        <v>74</v>
      </c>
      <c r="Y819" t="s">
        <v>9938</v>
      </c>
      <c r="Z819" t="s">
        <v>74</v>
      </c>
      <c r="AA819" t="s">
        <v>74</v>
      </c>
      <c r="AB819" t="s">
        <v>74</v>
      </c>
      <c r="AC819" t="s">
        <v>74</v>
      </c>
      <c r="AD819" t="s">
        <v>74</v>
      </c>
      <c r="AE819" t="s">
        <v>74</v>
      </c>
      <c r="AF819" t="s">
        <v>74</v>
      </c>
      <c r="AG819">
        <v>47</v>
      </c>
      <c r="AH819">
        <v>160</v>
      </c>
      <c r="AI819">
        <v>165</v>
      </c>
      <c r="AJ819">
        <v>2</v>
      </c>
      <c r="AK819">
        <v>26</v>
      </c>
      <c r="AL819" t="s">
        <v>213</v>
      </c>
      <c r="AM819" t="s">
        <v>214</v>
      </c>
      <c r="AN819" t="s">
        <v>9930</v>
      </c>
      <c r="AO819" t="s">
        <v>216</v>
      </c>
      <c r="AP819" t="s">
        <v>74</v>
      </c>
      <c r="AQ819" t="s">
        <v>74</v>
      </c>
      <c r="AR819" t="s">
        <v>217</v>
      </c>
      <c r="AS819" t="s">
        <v>218</v>
      </c>
      <c r="AT819" t="s">
        <v>9908</v>
      </c>
      <c r="AU819">
        <v>1997</v>
      </c>
      <c r="AV819">
        <v>9</v>
      </c>
      <c r="AW819">
        <v>3</v>
      </c>
      <c r="AX819" t="s">
        <v>74</v>
      </c>
      <c r="AY819" t="s">
        <v>74</v>
      </c>
      <c r="AZ819" t="s">
        <v>74</v>
      </c>
      <c r="BA819" t="s">
        <v>74</v>
      </c>
      <c r="BB819">
        <v>235</v>
      </c>
      <c r="BC819">
        <v>242</v>
      </c>
      <c r="BD819" t="s">
        <v>74</v>
      </c>
      <c r="BE819" t="s">
        <v>9939</v>
      </c>
      <c r="BF819" t="str">
        <f>HYPERLINK("http://dx.doi.org/10.1017/S095410209700031X","http://dx.doi.org/10.1017/S095410209700031X")</f>
        <v>http://dx.doi.org/10.1017/S095410209700031X</v>
      </c>
      <c r="BG819" t="s">
        <v>74</v>
      </c>
      <c r="BH819" t="s">
        <v>74</v>
      </c>
      <c r="BI819">
        <v>8</v>
      </c>
      <c r="BJ819" t="s">
        <v>220</v>
      </c>
      <c r="BK819" t="s">
        <v>98</v>
      </c>
      <c r="BL819" t="s">
        <v>221</v>
      </c>
      <c r="BM819" t="s">
        <v>9932</v>
      </c>
      <c r="BN819" t="s">
        <v>74</v>
      </c>
      <c r="BO819" t="s">
        <v>74</v>
      </c>
      <c r="BP819" t="s">
        <v>74</v>
      </c>
      <c r="BQ819" t="s">
        <v>74</v>
      </c>
      <c r="BR819" t="s">
        <v>101</v>
      </c>
      <c r="BS819" t="s">
        <v>9940</v>
      </c>
      <c r="BT819" t="str">
        <f>HYPERLINK("https%3A%2F%2Fwww.webofscience.com%2Fwos%2Fwoscc%2Ffull-record%2FWOS:A1997XV76100002","View Full Record in Web of Science")</f>
        <v>View Full Record in Web of Science</v>
      </c>
    </row>
    <row r="820" spans="1:72" x14ac:dyDescent="0.15">
      <c r="A820" t="s">
        <v>72</v>
      </c>
      <c r="B820" t="s">
        <v>9941</v>
      </c>
      <c r="C820" t="s">
        <v>74</v>
      </c>
      <c r="D820" t="s">
        <v>74</v>
      </c>
      <c r="E820" t="s">
        <v>74</v>
      </c>
      <c r="F820" t="s">
        <v>9941</v>
      </c>
      <c r="G820" t="s">
        <v>74</v>
      </c>
      <c r="H820" t="s">
        <v>74</v>
      </c>
      <c r="I820" t="s">
        <v>9942</v>
      </c>
      <c r="J820" t="s">
        <v>211</v>
      </c>
      <c r="K820" t="s">
        <v>74</v>
      </c>
      <c r="L820" t="s">
        <v>74</v>
      </c>
      <c r="M820" t="s">
        <v>77</v>
      </c>
      <c r="N820" t="s">
        <v>78</v>
      </c>
      <c r="O820" t="s">
        <v>74</v>
      </c>
      <c r="P820" t="s">
        <v>74</v>
      </c>
      <c r="Q820" t="s">
        <v>74</v>
      </c>
      <c r="R820" t="s">
        <v>74</v>
      </c>
      <c r="S820" t="s">
        <v>74</v>
      </c>
      <c r="T820" t="s">
        <v>9943</v>
      </c>
      <c r="U820" t="s">
        <v>9944</v>
      </c>
      <c r="V820" t="s">
        <v>9945</v>
      </c>
      <c r="W820" t="s">
        <v>74</v>
      </c>
      <c r="X820" t="s">
        <v>74</v>
      </c>
      <c r="Y820" t="s">
        <v>9946</v>
      </c>
      <c r="Z820" t="s">
        <v>74</v>
      </c>
      <c r="AA820" t="s">
        <v>74</v>
      </c>
      <c r="AB820" t="s">
        <v>74</v>
      </c>
      <c r="AC820" t="s">
        <v>74</v>
      </c>
      <c r="AD820" t="s">
        <v>74</v>
      </c>
      <c r="AE820" t="s">
        <v>74</v>
      </c>
      <c r="AF820" t="s">
        <v>74</v>
      </c>
      <c r="AG820">
        <v>22</v>
      </c>
      <c r="AH820">
        <v>37</v>
      </c>
      <c r="AI820">
        <v>40</v>
      </c>
      <c r="AJ820">
        <v>0</v>
      </c>
      <c r="AK820">
        <v>2</v>
      </c>
      <c r="AL820" t="s">
        <v>213</v>
      </c>
      <c r="AM820" t="s">
        <v>214</v>
      </c>
      <c r="AN820" t="s">
        <v>9930</v>
      </c>
      <c r="AO820" t="s">
        <v>216</v>
      </c>
      <c r="AP820" t="s">
        <v>74</v>
      </c>
      <c r="AQ820" t="s">
        <v>74</v>
      </c>
      <c r="AR820" t="s">
        <v>217</v>
      </c>
      <c r="AS820" t="s">
        <v>218</v>
      </c>
      <c r="AT820" t="s">
        <v>9908</v>
      </c>
      <c r="AU820">
        <v>1997</v>
      </c>
      <c r="AV820">
        <v>9</v>
      </c>
      <c r="AW820">
        <v>3</v>
      </c>
      <c r="AX820" t="s">
        <v>74</v>
      </c>
      <c r="AY820" t="s">
        <v>74</v>
      </c>
      <c r="AZ820" t="s">
        <v>74</v>
      </c>
      <c r="BA820" t="s">
        <v>74</v>
      </c>
      <c r="BB820">
        <v>243</v>
      </c>
      <c r="BC820">
        <v>249</v>
      </c>
      <c r="BD820" t="s">
        <v>74</v>
      </c>
      <c r="BE820" t="s">
        <v>9947</v>
      </c>
      <c r="BF820" t="str">
        <f>HYPERLINK("http://dx.doi.org/10.1017/S0954102097000321","http://dx.doi.org/10.1017/S0954102097000321")</f>
        <v>http://dx.doi.org/10.1017/S0954102097000321</v>
      </c>
      <c r="BG820" t="s">
        <v>74</v>
      </c>
      <c r="BH820" t="s">
        <v>74</v>
      </c>
      <c r="BI820">
        <v>7</v>
      </c>
      <c r="BJ820" t="s">
        <v>220</v>
      </c>
      <c r="BK820" t="s">
        <v>98</v>
      </c>
      <c r="BL820" t="s">
        <v>221</v>
      </c>
      <c r="BM820" t="s">
        <v>9932</v>
      </c>
      <c r="BN820" t="s">
        <v>74</v>
      </c>
      <c r="BO820" t="s">
        <v>74</v>
      </c>
      <c r="BP820" t="s">
        <v>74</v>
      </c>
      <c r="BQ820" t="s">
        <v>74</v>
      </c>
      <c r="BR820" t="s">
        <v>101</v>
      </c>
      <c r="BS820" t="s">
        <v>9948</v>
      </c>
      <c r="BT820" t="str">
        <f>HYPERLINK("https%3A%2F%2Fwww.webofscience.com%2Fwos%2Fwoscc%2Ffull-record%2FWOS:A1997XV76100003","View Full Record in Web of Science")</f>
        <v>View Full Record in Web of Science</v>
      </c>
    </row>
    <row r="821" spans="1:72" x14ac:dyDescent="0.15">
      <c r="A821" t="s">
        <v>72</v>
      </c>
      <c r="B821" t="s">
        <v>9949</v>
      </c>
      <c r="C821" t="s">
        <v>74</v>
      </c>
      <c r="D821" t="s">
        <v>74</v>
      </c>
      <c r="E821" t="s">
        <v>74</v>
      </c>
      <c r="F821" t="s">
        <v>9949</v>
      </c>
      <c r="G821" t="s">
        <v>74</v>
      </c>
      <c r="H821" t="s">
        <v>74</v>
      </c>
      <c r="I821" t="s">
        <v>9950</v>
      </c>
      <c r="J821" t="s">
        <v>211</v>
      </c>
      <c r="K821" t="s">
        <v>74</v>
      </c>
      <c r="L821" t="s">
        <v>74</v>
      </c>
      <c r="M821" t="s">
        <v>77</v>
      </c>
      <c r="N821" t="s">
        <v>78</v>
      </c>
      <c r="O821" t="s">
        <v>74</v>
      </c>
      <c r="P821" t="s">
        <v>74</v>
      </c>
      <c r="Q821" t="s">
        <v>74</v>
      </c>
      <c r="R821" t="s">
        <v>74</v>
      </c>
      <c r="S821" t="s">
        <v>74</v>
      </c>
      <c r="T821" t="s">
        <v>9951</v>
      </c>
      <c r="U821" t="s">
        <v>9952</v>
      </c>
      <c r="V821" t="s">
        <v>9953</v>
      </c>
      <c r="W821" t="s">
        <v>74</v>
      </c>
      <c r="X821" t="s">
        <v>74</v>
      </c>
      <c r="Y821" t="s">
        <v>9954</v>
      </c>
      <c r="Z821" t="s">
        <v>74</v>
      </c>
      <c r="AA821" t="s">
        <v>74</v>
      </c>
      <c r="AB821" t="s">
        <v>1879</v>
      </c>
      <c r="AC821" t="s">
        <v>74</v>
      </c>
      <c r="AD821" t="s">
        <v>74</v>
      </c>
      <c r="AE821" t="s">
        <v>74</v>
      </c>
      <c r="AF821" t="s">
        <v>74</v>
      </c>
      <c r="AG821">
        <v>40</v>
      </c>
      <c r="AH821">
        <v>17</v>
      </c>
      <c r="AI821">
        <v>19</v>
      </c>
      <c r="AJ821">
        <v>0</v>
      </c>
      <c r="AK821">
        <v>6</v>
      </c>
      <c r="AL821" t="s">
        <v>213</v>
      </c>
      <c r="AM821" t="s">
        <v>214</v>
      </c>
      <c r="AN821" t="s">
        <v>9930</v>
      </c>
      <c r="AO821" t="s">
        <v>216</v>
      </c>
      <c r="AP821" t="s">
        <v>74</v>
      </c>
      <c r="AQ821" t="s">
        <v>74</v>
      </c>
      <c r="AR821" t="s">
        <v>217</v>
      </c>
      <c r="AS821" t="s">
        <v>218</v>
      </c>
      <c r="AT821" t="s">
        <v>9908</v>
      </c>
      <c r="AU821">
        <v>1997</v>
      </c>
      <c r="AV821">
        <v>9</v>
      </c>
      <c r="AW821">
        <v>3</v>
      </c>
      <c r="AX821" t="s">
        <v>74</v>
      </c>
      <c r="AY821" t="s">
        <v>74</v>
      </c>
      <c r="AZ821" t="s">
        <v>74</v>
      </c>
      <c r="BA821" t="s">
        <v>74</v>
      </c>
      <c r="BB821">
        <v>250</v>
      </c>
      <c r="BC821">
        <v>257</v>
      </c>
      <c r="BD821" t="s">
        <v>74</v>
      </c>
      <c r="BE821" t="s">
        <v>9955</v>
      </c>
      <c r="BF821" t="str">
        <f>HYPERLINK("http://dx.doi.org/10.1017/S0954102097000333","http://dx.doi.org/10.1017/S0954102097000333")</f>
        <v>http://dx.doi.org/10.1017/S0954102097000333</v>
      </c>
      <c r="BG821" t="s">
        <v>74</v>
      </c>
      <c r="BH821" t="s">
        <v>74</v>
      </c>
      <c r="BI821">
        <v>8</v>
      </c>
      <c r="BJ821" t="s">
        <v>220</v>
      </c>
      <c r="BK821" t="s">
        <v>98</v>
      </c>
      <c r="BL821" t="s">
        <v>221</v>
      </c>
      <c r="BM821" t="s">
        <v>9932</v>
      </c>
      <c r="BN821" t="s">
        <v>74</v>
      </c>
      <c r="BO821" t="s">
        <v>74</v>
      </c>
      <c r="BP821" t="s">
        <v>74</v>
      </c>
      <c r="BQ821" t="s">
        <v>74</v>
      </c>
      <c r="BR821" t="s">
        <v>101</v>
      </c>
      <c r="BS821" t="s">
        <v>9956</v>
      </c>
      <c r="BT821" t="str">
        <f>HYPERLINK("https%3A%2F%2Fwww.webofscience.com%2Fwos%2Fwoscc%2Ffull-record%2FWOS:A1997XV76100004","View Full Record in Web of Science")</f>
        <v>View Full Record in Web of Science</v>
      </c>
    </row>
    <row r="822" spans="1:72" x14ac:dyDescent="0.15">
      <c r="A822" t="s">
        <v>72</v>
      </c>
      <c r="B822" t="s">
        <v>9466</v>
      </c>
      <c r="C822" t="s">
        <v>74</v>
      </c>
      <c r="D822" t="s">
        <v>74</v>
      </c>
      <c r="E822" t="s">
        <v>74</v>
      </c>
      <c r="F822" t="s">
        <v>9466</v>
      </c>
      <c r="G822" t="s">
        <v>74</v>
      </c>
      <c r="H822" t="s">
        <v>74</v>
      </c>
      <c r="I822" t="s">
        <v>9957</v>
      </c>
      <c r="J822" t="s">
        <v>211</v>
      </c>
      <c r="K822" t="s">
        <v>74</v>
      </c>
      <c r="L822" t="s">
        <v>74</v>
      </c>
      <c r="M822" t="s">
        <v>77</v>
      </c>
      <c r="N822" t="s">
        <v>78</v>
      </c>
      <c r="O822" t="s">
        <v>74</v>
      </c>
      <c r="P822" t="s">
        <v>74</v>
      </c>
      <c r="Q822" t="s">
        <v>74</v>
      </c>
      <c r="R822" t="s">
        <v>74</v>
      </c>
      <c r="S822" t="s">
        <v>74</v>
      </c>
      <c r="T822" t="s">
        <v>9958</v>
      </c>
      <c r="U822" t="s">
        <v>9959</v>
      </c>
      <c r="V822" t="s">
        <v>9960</v>
      </c>
      <c r="W822" t="s">
        <v>9961</v>
      </c>
      <c r="X822" t="s">
        <v>3151</v>
      </c>
      <c r="Y822" t="s">
        <v>9473</v>
      </c>
      <c r="Z822" t="s">
        <v>74</v>
      </c>
      <c r="AA822" t="s">
        <v>7076</v>
      </c>
      <c r="AB822" t="s">
        <v>9474</v>
      </c>
      <c r="AC822" t="s">
        <v>74</v>
      </c>
      <c r="AD822" t="s">
        <v>74</v>
      </c>
      <c r="AE822" t="s">
        <v>74</v>
      </c>
      <c r="AF822" t="s">
        <v>74</v>
      </c>
      <c r="AG822">
        <v>52</v>
      </c>
      <c r="AH822">
        <v>49</v>
      </c>
      <c r="AI822">
        <v>52</v>
      </c>
      <c r="AJ822">
        <v>1</v>
      </c>
      <c r="AK822">
        <v>16</v>
      </c>
      <c r="AL822" t="s">
        <v>213</v>
      </c>
      <c r="AM822" t="s">
        <v>214</v>
      </c>
      <c r="AN822" t="s">
        <v>9930</v>
      </c>
      <c r="AO822" t="s">
        <v>216</v>
      </c>
      <c r="AP822" t="s">
        <v>74</v>
      </c>
      <c r="AQ822" t="s">
        <v>74</v>
      </c>
      <c r="AR822" t="s">
        <v>217</v>
      </c>
      <c r="AS822" t="s">
        <v>218</v>
      </c>
      <c r="AT822" t="s">
        <v>9908</v>
      </c>
      <c r="AU822">
        <v>1997</v>
      </c>
      <c r="AV822">
        <v>9</v>
      </c>
      <c r="AW822">
        <v>3</v>
      </c>
      <c r="AX822" t="s">
        <v>74</v>
      </c>
      <c r="AY822" t="s">
        <v>74</v>
      </c>
      <c r="AZ822" t="s">
        <v>74</v>
      </c>
      <c r="BA822" t="s">
        <v>74</v>
      </c>
      <c r="BB822">
        <v>258</v>
      </c>
      <c r="BC822">
        <v>265</v>
      </c>
      <c r="BD822" t="s">
        <v>74</v>
      </c>
      <c r="BE822" t="s">
        <v>9962</v>
      </c>
      <c r="BF822" t="str">
        <f>HYPERLINK("http://dx.doi.org/10.1017/S0954102097000345","http://dx.doi.org/10.1017/S0954102097000345")</f>
        <v>http://dx.doi.org/10.1017/S0954102097000345</v>
      </c>
      <c r="BG822" t="s">
        <v>74</v>
      </c>
      <c r="BH822" t="s">
        <v>74</v>
      </c>
      <c r="BI822">
        <v>8</v>
      </c>
      <c r="BJ822" t="s">
        <v>220</v>
      </c>
      <c r="BK822" t="s">
        <v>98</v>
      </c>
      <c r="BL822" t="s">
        <v>221</v>
      </c>
      <c r="BM822" t="s">
        <v>9932</v>
      </c>
      <c r="BN822" t="s">
        <v>74</v>
      </c>
      <c r="BO822" t="s">
        <v>74</v>
      </c>
      <c r="BP822" t="s">
        <v>74</v>
      </c>
      <c r="BQ822" t="s">
        <v>74</v>
      </c>
      <c r="BR822" t="s">
        <v>101</v>
      </c>
      <c r="BS822" t="s">
        <v>9963</v>
      </c>
      <c r="BT822" t="str">
        <f>HYPERLINK("https%3A%2F%2Fwww.webofscience.com%2Fwos%2Fwoscc%2Ffull-record%2FWOS:A1997XV76100005","View Full Record in Web of Science")</f>
        <v>View Full Record in Web of Science</v>
      </c>
    </row>
    <row r="823" spans="1:72" x14ac:dyDescent="0.15">
      <c r="A823" t="s">
        <v>72</v>
      </c>
      <c r="B823" t="s">
        <v>9964</v>
      </c>
      <c r="C823" t="s">
        <v>74</v>
      </c>
      <c r="D823" t="s">
        <v>74</v>
      </c>
      <c r="E823" t="s">
        <v>74</v>
      </c>
      <c r="F823" t="s">
        <v>9964</v>
      </c>
      <c r="G823" t="s">
        <v>74</v>
      </c>
      <c r="H823" t="s">
        <v>74</v>
      </c>
      <c r="I823" t="s">
        <v>9965</v>
      </c>
      <c r="J823" t="s">
        <v>211</v>
      </c>
      <c r="K823" t="s">
        <v>74</v>
      </c>
      <c r="L823" t="s">
        <v>74</v>
      </c>
      <c r="M823" t="s">
        <v>77</v>
      </c>
      <c r="N823" t="s">
        <v>78</v>
      </c>
      <c r="O823" t="s">
        <v>74</v>
      </c>
      <c r="P823" t="s">
        <v>74</v>
      </c>
      <c r="Q823" t="s">
        <v>74</v>
      </c>
      <c r="R823" t="s">
        <v>74</v>
      </c>
      <c r="S823" t="s">
        <v>74</v>
      </c>
      <c r="T823" t="s">
        <v>74</v>
      </c>
      <c r="U823" t="s">
        <v>9966</v>
      </c>
      <c r="V823" t="s">
        <v>74</v>
      </c>
      <c r="W823" t="s">
        <v>74</v>
      </c>
      <c r="X823" t="s">
        <v>74</v>
      </c>
      <c r="Y823" t="s">
        <v>9967</v>
      </c>
      <c r="Z823" t="s">
        <v>74</v>
      </c>
      <c r="AA823" t="s">
        <v>74</v>
      </c>
      <c r="AB823" t="s">
        <v>7054</v>
      </c>
      <c r="AC823" t="s">
        <v>74</v>
      </c>
      <c r="AD823" t="s">
        <v>74</v>
      </c>
      <c r="AE823" t="s">
        <v>74</v>
      </c>
      <c r="AF823" t="s">
        <v>74</v>
      </c>
      <c r="AG823">
        <v>26</v>
      </c>
      <c r="AH823">
        <v>47</v>
      </c>
      <c r="AI823">
        <v>57</v>
      </c>
      <c r="AJ823">
        <v>0</v>
      </c>
      <c r="AK823">
        <v>5</v>
      </c>
      <c r="AL823" t="s">
        <v>243</v>
      </c>
      <c r="AM823" t="s">
        <v>244</v>
      </c>
      <c r="AN823" t="s">
        <v>245</v>
      </c>
      <c r="AO823" t="s">
        <v>216</v>
      </c>
      <c r="AP823" t="s">
        <v>293</v>
      </c>
      <c r="AQ823" t="s">
        <v>74</v>
      </c>
      <c r="AR823" t="s">
        <v>217</v>
      </c>
      <c r="AS823" t="s">
        <v>218</v>
      </c>
      <c r="AT823" t="s">
        <v>9908</v>
      </c>
      <c r="AU823">
        <v>1997</v>
      </c>
      <c r="AV823">
        <v>9</v>
      </c>
      <c r="AW823">
        <v>3</v>
      </c>
      <c r="AX823" t="s">
        <v>74</v>
      </c>
      <c r="AY823" t="s">
        <v>74</v>
      </c>
      <c r="AZ823" t="s">
        <v>74</v>
      </c>
      <c r="BA823" t="s">
        <v>74</v>
      </c>
      <c r="BB823">
        <v>266</v>
      </c>
      <c r="BC823">
        <v>267</v>
      </c>
      <c r="BD823" t="s">
        <v>74</v>
      </c>
      <c r="BE823" t="s">
        <v>9968</v>
      </c>
      <c r="BF823" t="str">
        <f>HYPERLINK("http://dx.doi.org/10.1017/S0954102097000357","http://dx.doi.org/10.1017/S0954102097000357")</f>
        <v>http://dx.doi.org/10.1017/S0954102097000357</v>
      </c>
      <c r="BG823" t="s">
        <v>74</v>
      </c>
      <c r="BH823" t="s">
        <v>74</v>
      </c>
      <c r="BI823">
        <v>2</v>
      </c>
      <c r="BJ823" t="s">
        <v>220</v>
      </c>
      <c r="BK823" t="s">
        <v>98</v>
      </c>
      <c r="BL823" t="s">
        <v>221</v>
      </c>
      <c r="BM823" t="s">
        <v>9932</v>
      </c>
      <c r="BN823" t="s">
        <v>74</v>
      </c>
      <c r="BO823" t="s">
        <v>74</v>
      </c>
      <c r="BP823" t="s">
        <v>74</v>
      </c>
      <c r="BQ823" t="s">
        <v>74</v>
      </c>
      <c r="BR823" t="s">
        <v>101</v>
      </c>
      <c r="BS823" t="s">
        <v>9969</v>
      </c>
      <c r="BT823" t="str">
        <f>HYPERLINK("https%3A%2F%2Fwww.webofscience.com%2Fwos%2Fwoscc%2Ffull-record%2FWOS:A1997XV76100006","View Full Record in Web of Science")</f>
        <v>View Full Record in Web of Science</v>
      </c>
    </row>
    <row r="824" spans="1:72" x14ac:dyDescent="0.15">
      <c r="A824" t="s">
        <v>72</v>
      </c>
      <c r="B824" t="s">
        <v>9970</v>
      </c>
      <c r="C824" t="s">
        <v>74</v>
      </c>
      <c r="D824" t="s">
        <v>74</v>
      </c>
      <c r="E824" t="s">
        <v>74</v>
      </c>
      <c r="F824" t="s">
        <v>9970</v>
      </c>
      <c r="G824" t="s">
        <v>74</v>
      </c>
      <c r="H824" t="s">
        <v>74</v>
      </c>
      <c r="I824" t="s">
        <v>9971</v>
      </c>
      <c r="J824" t="s">
        <v>211</v>
      </c>
      <c r="K824" t="s">
        <v>74</v>
      </c>
      <c r="L824" t="s">
        <v>74</v>
      </c>
      <c r="M824" t="s">
        <v>77</v>
      </c>
      <c r="N824" t="s">
        <v>78</v>
      </c>
      <c r="O824" t="s">
        <v>74</v>
      </c>
      <c r="P824" t="s">
        <v>74</v>
      </c>
      <c r="Q824" t="s">
        <v>74</v>
      </c>
      <c r="R824" t="s">
        <v>74</v>
      </c>
      <c r="S824" t="s">
        <v>74</v>
      </c>
      <c r="T824" t="s">
        <v>9972</v>
      </c>
      <c r="U824" t="s">
        <v>9973</v>
      </c>
      <c r="V824" t="s">
        <v>9974</v>
      </c>
      <c r="W824" t="s">
        <v>74</v>
      </c>
      <c r="X824" t="s">
        <v>74</v>
      </c>
      <c r="Y824" t="s">
        <v>9975</v>
      </c>
      <c r="Z824" t="s">
        <v>74</v>
      </c>
      <c r="AA824" t="s">
        <v>74</v>
      </c>
      <c r="AB824" t="s">
        <v>74</v>
      </c>
      <c r="AC824" t="s">
        <v>74</v>
      </c>
      <c r="AD824" t="s">
        <v>74</v>
      </c>
      <c r="AE824" t="s">
        <v>74</v>
      </c>
      <c r="AF824" t="s">
        <v>74</v>
      </c>
      <c r="AG824">
        <v>50</v>
      </c>
      <c r="AH824">
        <v>9</v>
      </c>
      <c r="AI824">
        <v>9</v>
      </c>
      <c r="AJ824">
        <v>0</v>
      </c>
      <c r="AK824">
        <v>1</v>
      </c>
      <c r="AL824" t="s">
        <v>213</v>
      </c>
      <c r="AM824" t="s">
        <v>214</v>
      </c>
      <c r="AN824" t="s">
        <v>9930</v>
      </c>
      <c r="AO824" t="s">
        <v>216</v>
      </c>
      <c r="AP824" t="s">
        <v>74</v>
      </c>
      <c r="AQ824" t="s">
        <v>74</v>
      </c>
      <c r="AR824" t="s">
        <v>217</v>
      </c>
      <c r="AS824" t="s">
        <v>218</v>
      </c>
      <c r="AT824" t="s">
        <v>9908</v>
      </c>
      <c r="AU824">
        <v>1997</v>
      </c>
      <c r="AV824">
        <v>9</v>
      </c>
      <c r="AW824">
        <v>3</v>
      </c>
      <c r="AX824" t="s">
        <v>74</v>
      </c>
      <c r="AY824" t="s">
        <v>74</v>
      </c>
      <c r="AZ824" t="s">
        <v>74</v>
      </c>
      <c r="BA824" t="s">
        <v>74</v>
      </c>
      <c r="BB824">
        <v>268</v>
      </c>
      <c r="BC824">
        <v>280</v>
      </c>
      <c r="BD824" t="s">
        <v>74</v>
      </c>
      <c r="BE824" t="s">
        <v>9976</v>
      </c>
      <c r="BF824" t="str">
        <f>HYPERLINK("http://dx.doi.org/10.1017/S0954102097000369","http://dx.doi.org/10.1017/S0954102097000369")</f>
        <v>http://dx.doi.org/10.1017/S0954102097000369</v>
      </c>
      <c r="BG824" t="s">
        <v>74</v>
      </c>
      <c r="BH824" t="s">
        <v>74</v>
      </c>
      <c r="BI824">
        <v>13</v>
      </c>
      <c r="BJ824" t="s">
        <v>220</v>
      </c>
      <c r="BK824" t="s">
        <v>98</v>
      </c>
      <c r="BL824" t="s">
        <v>221</v>
      </c>
      <c r="BM824" t="s">
        <v>9932</v>
      </c>
      <c r="BN824" t="s">
        <v>74</v>
      </c>
      <c r="BO824" t="s">
        <v>74</v>
      </c>
      <c r="BP824" t="s">
        <v>74</v>
      </c>
      <c r="BQ824" t="s">
        <v>74</v>
      </c>
      <c r="BR824" t="s">
        <v>101</v>
      </c>
      <c r="BS824" t="s">
        <v>9977</v>
      </c>
      <c r="BT824" t="str">
        <f>HYPERLINK("https%3A%2F%2Fwww.webofscience.com%2Fwos%2Fwoscc%2Ffull-record%2FWOS:A1997XV76100007","View Full Record in Web of Science")</f>
        <v>View Full Record in Web of Science</v>
      </c>
    </row>
    <row r="825" spans="1:72" x14ac:dyDescent="0.15">
      <c r="A825" t="s">
        <v>72</v>
      </c>
      <c r="B825" t="s">
        <v>9978</v>
      </c>
      <c r="C825" t="s">
        <v>74</v>
      </c>
      <c r="D825" t="s">
        <v>74</v>
      </c>
      <c r="E825" t="s">
        <v>74</v>
      </c>
      <c r="F825" t="s">
        <v>9978</v>
      </c>
      <c r="G825" t="s">
        <v>74</v>
      </c>
      <c r="H825" t="s">
        <v>74</v>
      </c>
      <c r="I825" t="s">
        <v>9979</v>
      </c>
      <c r="J825" t="s">
        <v>211</v>
      </c>
      <c r="K825" t="s">
        <v>74</v>
      </c>
      <c r="L825" t="s">
        <v>74</v>
      </c>
      <c r="M825" t="s">
        <v>77</v>
      </c>
      <c r="N825" t="s">
        <v>78</v>
      </c>
      <c r="O825" t="s">
        <v>74</v>
      </c>
      <c r="P825" t="s">
        <v>74</v>
      </c>
      <c r="Q825" t="s">
        <v>74</v>
      </c>
      <c r="R825" t="s">
        <v>74</v>
      </c>
      <c r="S825" t="s">
        <v>74</v>
      </c>
      <c r="T825" t="s">
        <v>9980</v>
      </c>
      <c r="U825" t="s">
        <v>9981</v>
      </c>
      <c r="V825" t="s">
        <v>9982</v>
      </c>
      <c r="W825" t="s">
        <v>9983</v>
      </c>
      <c r="X825" t="s">
        <v>9984</v>
      </c>
      <c r="Y825" t="s">
        <v>9985</v>
      </c>
      <c r="Z825" t="s">
        <v>74</v>
      </c>
      <c r="AA825" t="s">
        <v>9986</v>
      </c>
      <c r="AB825" t="s">
        <v>9987</v>
      </c>
      <c r="AC825" t="s">
        <v>74</v>
      </c>
      <c r="AD825" t="s">
        <v>74</v>
      </c>
      <c r="AE825" t="s">
        <v>74</v>
      </c>
      <c r="AF825" t="s">
        <v>74</v>
      </c>
      <c r="AG825">
        <v>100</v>
      </c>
      <c r="AH825">
        <v>132</v>
      </c>
      <c r="AI825">
        <v>142</v>
      </c>
      <c r="AJ825">
        <v>1</v>
      </c>
      <c r="AK825">
        <v>13</v>
      </c>
      <c r="AL825" t="s">
        <v>213</v>
      </c>
      <c r="AM825" t="s">
        <v>214</v>
      </c>
      <c r="AN825" t="s">
        <v>9930</v>
      </c>
      <c r="AO825" t="s">
        <v>216</v>
      </c>
      <c r="AP825" t="s">
        <v>74</v>
      </c>
      <c r="AQ825" t="s">
        <v>74</v>
      </c>
      <c r="AR825" t="s">
        <v>217</v>
      </c>
      <c r="AS825" t="s">
        <v>218</v>
      </c>
      <c r="AT825" t="s">
        <v>9908</v>
      </c>
      <c r="AU825">
        <v>1997</v>
      </c>
      <c r="AV825">
        <v>9</v>
      </c>
      <c r="AW825">
        <v>3</v>
      </c>
      <c r="AX825" t="s">
        <v>74</v>
      </c>
      <c r="AY825" t="s">
        <v>74</v>
      </c>
      <c r="AZ825" t="s">
        <v>74</v>
      </c>
      <c r="BA825" t="s">
        <v>74</v>
      </c>
      <c r="BB825">
        <v>281</v>
      </c>
      <c r="BC825">
        <v>298</v>
      </c>
      <c r="BD825" t="s">
        <v>74</v>
      </c>
      <c r="BE825" t="s">
        <v>9988</v>
      </c>
      <c r="BF825" t="str">
        <f>HYPERLINK("http://dx.doi.org/10.1017/S0954102097000370","http://dx.doi.org/10.1017/S0954102097000370")</f>
        <v>http://dx.doi.org/10.1017/S0954102097000370</v>
      </c>
      <c r="BG825" t="s">
        <v>74</v>
      </c>
      <c r="BH825" t="s">
        <v>74</v>
      </c>
      <c r="BI825">
        <v>18</v>
      </c>
      <c r="BJ825" t="s">
        <v>220</v>
      </c>
      <c r="BK825" t="s">
        <v>98</v>
      </c>
      <c r="BL825" t="s">
        <v>221</v>
      </c>
      <c r="BM825" t="s">
        <v>9932</v>
      </c>
      <c r="BN825" t="s">
        <v>74</v>
      </c>
      <c r="BO825" t="s">
        <v>74</v>
      </c>
      <c r="BP825" t="s">
        <v>74</v>
      </c>
      <c r="BQ825" t="s">
        <v>74</v>
      </c>
      <c r="BR825" t="s">
        <v>101</v>
      </c>
      <c r="BS825" t="s">
        <v>9989</v>
      </c>
      <c r="BT825" t="str">
        <f>HYPERLINK("https%3A%2F%2Fwww.webofscience.com%2Fwos%2Fwoscc%2Ffull-record%2FWOS:A1997XV76100008","View Full Record in Web of Science")</f>
        <v>View Full Record in Web of Science</v>
      </c>
    </row>
    <row r="826" spans="1:72" x14ac:dyDescent="0.15">
      <c r="A826" t="s">
        <v>72</v>
      </c>
      <c r="B826" t="s">
        <v>9990</v>
      </c>
      <c r="C826" t="s">
        <v>74</v>
      </c>
      <c r="D826" t="s">
        <v>74</v>
      </c>
      <c r="E826" t="s">
        <v>74</v>
      </c>
      <c r="F826" t="s">
        <v>9990</v>
      </c>
      <c r="G826" t="s">
        <v>74</v>
      </c>
      <c r="H826" t="s">
        <v>74</v>
      </c>
      <c r="I826" t="s">
        <v>9991</v>
      </c>
      <c r="J826" t="s">
        <v>211</v>
      </c>
      <c r="K826" t="s">
        <v>74</v>
      </c>
      <c r="L826" t="s">
        <v>74</v>
      </c>
      <c r="M826" t="s">
        <v>77</v>
      </c>
      <c r="N826" t="s">
        <v>78</v>
      </c>
      <c r="O826" t="s">
        <v>74</v>
      </c>
      <c r="P826" t="s">
        <v>74</v>
      </c>
      <c r="Q826" t="s">
        <v>74</v>
      </c>
      <c r="R826" t="s">
        <v>74</v>
      </c>
      <c r="S826" t="s">
        <v>74</v>
      </c>
      <c r="T826" t="s">
        <v>9992</v>
      </c>
      <c r="U826" t="s">
        <v>9993</v>
      </c>
      <c r="V826" t="s">
        <v>9994</v>
      </c>
      <c r="W826" t="s">
        <v>9995</v>
      </c>
      <c r="X826" t="s">
        <v>9193</v>
      </c>
      <c r="Y826" t="s">
        <v>9996</v>
      </c>
      <c r="Z826" t="s">
        <v>74</v>
      </c>
      <c r="AA826" t="s">
        <v>74</v>
      </c>
      <c r="AB826" t="s">
        <v>74</v>
      </c>
      <c r="AC826" t="s">
        <v>74</v>
      </c>
      <c r="AD826" t="s">
        <v>74</v>
      </c>
      <c r="AE826" t="s">
        <v>74</v>
      </c>
      <c r="AF826" t="s">
        <v>74</v>
      </c>
      <c r="AG826">
        <v>17</v>
      </c>
      <c r="AH826">
        <v>27</v>
      </c>
      <c r="AI826">
        <v>28</v>
      </c>
      <c r="AJ826">
        <v>0</v>
      </c>
      <c r="AK826">
        <v>2</v>
      </c>
      <c r="AL826" t="s">
        <v>213</v>
      </c>
      <c r="AM826" t="s">
        <v>214</v>
      </c>
      <c r="AN826" t="s">
        <v>9930</v>
      </c>
      <c r="AO826" t="s">
        <v>216</v>
      </c>
      <c r="AP826" t="s">
        <v>74</v>
      </c>
      <c r="AQ826" t="s">
        <v>74</v>
      </c>
      <c r="AR826" t="s">
        <v>217</v>
      </c>
      <c r="AS826" t="s">
        <v>218</v>
      </c>
      <c r="AT826" t="s">
        <v>9908</v>
      </c>
      <c r="AU826">
        <v>1997</v>
      </c>
      <c r="AV826">
        <v>9</v>
      </c>
      <c r="AW826">
        <v>3</v>
      </c>
      <c r="AX826" t="s">
        <v>74</v>
      </c>
      <c r="AY826" t="s">
        <v>74</v>
      </c>
      <c r="AZ826" t="s">
        <v>74</v>
      </c>
      <c r="BA826" t="s">
        <v>74</v>
      </c>
      <c r="BB826">
        <v>299</v>
      </c>
      <c r="BC826">
        <v>306</v>
      </c>
      <c r="BD826" t="s">
        <v>74</v>
      </c>
      <c r="BE826" t="s">
        <v>9997</v>
      </c>
      <c r="BF826" t="str">
        <f>HYPERLINK("http://dx.doi.org/10.1017/S0954102097000382","http://dx.doi.org/10.1017/S0954102097000382")</f>
        <v>http://dx.doi.org/10.1017/S0954102097000382</v>
      </c>
      <c r="BG826" t="s">
        <v>74</v>
      </c>
      <c r="BH826" t="s">
        <v>74</v>
      </c>
      <c r="BI826">
        <v>8</v>
      </c>
      <c r="BJ826" t="s">
        <v>220</v>
      </c>
      <c r="BK826" t="s">
        <v>98</v>
      </c>
      <c r="BL826" t="s">
        <v>221</v>
      </c>
      <c r="BM826" t="s">
        <v>9932</v>
      </c>
      <c r="BN826" t="s">
        <v>74</v>
      </c>
      <c r="BO826" t="s">
        <v>74</v>
      </c>
      <c r="BP826" t="s">
        <v>74</v>
      </c>
      <c r="BQ826" t="s">
        <v>74</v>
      </c>
      <c r="BR826" t="s">
        <v>101</v>
      </c>
      <c r="BS826" t="s">
        <v>9998</v>
      </c>
      <c r="BT826" t="str">
        <f>HYPERLINK("https%3A%2F%2Fwww.webofscience.com%2Fwos%2Fwoscc%2Ffull-record%2FWOS:A1997XV76100009","View Full Record in Web of Science")</f>
        <v>View Full Record in Web of Science</v>
      </c>
    </row>
    <row r="827" spans="1:72" x14ac:dyDescent="0.15">
      <c r="A827" t="s">
        <v>72</v>
      </c>
      <c r="B827" t="s">
        <v>9999</v>
      </c>
      <c r="C827" t="s">
        <v>74</v>
      </c>
      <c r="D827" t="s">
        <v>74</v>
      </c>
      <c r="E827" t="s">
        <v>74</v>
      </c>
      <c r="F827" t="s">
        <v>9999</v>
      </c>
      <c r="G827" t="s">
        <v>74</v>
      </c>
      <c r="H827" t="s">
        <v>74</v>
      </c>
      <c r="I827" t="s">
        <v>10000</v>
      </c>
      <c r="J827" t="s">
        <v>211</v>
      </c>
      <c r="K827" t="s">
        <v>74</v>
      </c>
      <c r="L827" t="s">
        <v>74</v>
      </c>
      <c r="M827" t="s">
        <v>77</v>
      </c>
      <c r="N827" t="s">
        <v>78</v>
      </c>
      <c r="O827" t="s">
        <v>74</v>
      </c>
      <c r="P827" t="s">
        <v>74</v>
      </c>
      <c r="Q827" t="s">
        <v>74</v>
      </c>
      <c r="R827" t="s">
        <v>74</v>
      </c>
      <c r="S827" t="s">
        <v>74</v>
      </c>
      <c r="T827" t="s">
        <v>10001</v>
      </c>
      <c r="U827" t="s">
        <v>74</v>
      </c>
      <c r="V827" t="s">
        <v>10002</v>
      </c>
      <c r="W827" t="s">
        <v>9995</v>
      </c>
      <c r="X827" t="s">
        <v>9193</v>
      </c>
      <c r="Y827" t="s">
        <v>10003</v>
      </c>
      <c r="Z827" t="s">
        <v>74</v>
      </c>
      <c r="AA827" t="s">
        <v>74</v>
      </c>
      <c r="AB827" t="s">
        <v>74</v>
      </c>
      <c r="AC827" t="s">
        <v>74</v>
      </c>
      <c r="AD827" t="s">
        <v>74</v>
      </c>
      <c r="AE827" t="s">
        <v>74</v>
      </c>
      <c r="AF827" t="s">
        <v>74</v>
      </c>
      <c r="AG827">
        <v>8</v>
      </c>
      <c r="AH827">
        <v>4</v>
      </c>
      <c r="AI827">
        <v>4</v>
      </c>
      <c r="AJ827">
        <v>0</v>
      </c>
      <c r="AK827">
        <v>0</v>
      </c>
      <c r="AL827" t="s">
        <v>213</v>
      </c>
      <c r="AM827" t="s">
        <v>214</v>
      </c>
      <c r="AN827" t="s">
        <v>9930</v>
      </c>
      <c r="AO827" t="s">
        <v>216</v>
      </c>
      <c r="AP827" t="s">
        <v>74</v>
      </c>
      <c r="AQ827" t="s">
        <v>74</v>
      </c>
      <c r="AR827" t="s">
        <v>217</v>
      </c>
      <c r="AS827" t="s">
        <v>218</v>
      </c>
      <c r="AT827" t="s">
        <v>9908</v>
      </c>
      <c r="AU827">
        <v>1997</v>
      </c>
      <c r="AV827">
        <v>9</v>
      </c>
      <c r="AW827">
        <v>3</v>
      </c>
      <c r="AX827" t="s">
        <v>74</v>
      </c>
      <c r="AY827" t="s">
        <v>74</v>
      </c>
      <c r="AZ827" t="s">
        <v>74</v>
      </c>
      <c r="BA827" t="s">
        <v>74</v>
      </c>
      <c r="BB827">
        <v>307</v>
      </c>
      <c r="BC827">
        <v>312</v>
      </c>
      <c r="BD827" t="s">
        <v>74</v>
      </c>
      <c r="BE827" t="s">
        <v>10004</v>
      </c>
      <c r="BF827" t="str">
        <f>HYPERLINK("http://dx.doi.org/10.1017/S0954102097000394","http://dx.doi.org/10.1017/S0954102097000394")</f>
        <v>http://dx.doi.org/10.1017/S0954102097000394</v>
      </c>
      <c r="BG827" t="s">
        <v>74</v>
      </c>
      <c r="BH827" t="s">
        <v>74</v>
      </c>
      <c r="BI827">
        <v>6</v>
      </c>
      <c r="BJ827" t="s">
        <v>220</v>
      </c>
      <c r="BK827" t="s">
        <v>98</v>
      </c>
      <c r="BL827" t="s">
        <v>221</v>
      </c>
      <c r="BM827" t="s">
        <v>9932</v>
      </c>
      <c r="BN827" t="s">
        <v>74</v>
      </c>
      <c r="BO827" t="s">
        <v>74</v>
      </c>
      <c r="BP827" t="s">
        <v>74</v>
      </c>
      <c r="BQ827" t="s">
        <v>74</v>
      </c>
      <c r="BR827" t="s">
        <v>101</v>
      </c>
      <c r="BS827" t="s">
        <v>10005</v>
      </c>
      <c r="BT827" t="str">
        <f>HYPERLINK("https%3A%2F%2Fwww.webofscience.com%2Fwos%2Fwoscc%2Ffull-record%2FWOS:A1997XV76100010","View Full Record in Web of Science")</f>
        <v>View Full Record in Web of Science</v>
      </c>
    </row>
    <row r="828" spans="1:72" x14ac:dyDescent="0.15">
      <c r="A828" t="s">
        <v>72</v>
      </c>
      <c r="B828" t="s">
        <v>10006</v>
      </c>
      <c r="C828" t="s">
        <v>74</v>
      </c>
      <c r="D828" t="s">
        <v>74</v>
      </c>
      <c r="E828" t="s">
        <v>74</v>
      </c>
      <c r="F828" t="s">
        <v>10006</v>
      </c>
      <c r="G828" t="s">
        <v>74</v>
      </c>
      <c r="H828" t="s">
        <v>74</v>
      </c>
      <c r="I828" t="s">
        <v>10007</v>
      </c>
      <c r="J828" t="s">
        <v>211</v>
      </c>
      <c r="K828" t="s">
        <v>74</v>
      </c>
      <c r="L828" t="s">
        <v>74</v>
      </c>
      <c r="M828" t="s">
        <v>77</v>
      </c>
      <c r="N828" t="s">
        <v>78</v>
      </c>
      <c r="O828" t="s">
        <v>74</v>
      </c>
      <c r="P828" t="s">
        <v>74</v>
      </c>
      <c r="Q828" t="s">
        <v>74</v>
      </c>
      <c r="R828" t="s">
        <v>74</v>
      </c>
      <c r="S828" t="s">
        <v>74</v>
      </c>
      <c r="T828" t="s">
        <v>10008</v>
      </c>
      <c r="U828" t="s">
        <v>10009</v>
      </c>
      <c r="V828" t="s">
        <v>10010</v>
      </c>
      <c r="W828" t="s">
        <v>10011</v>
      </c>
      <c r="X828" t="s">
        <v>10012</v>
      </c>
      <c r="Y828" t="s">
        <v>74</v>
      </c>
      <c r="Z828" t="s">
        <v>74</v>
      </c>
      <c r="AA828" t="s">
        <v>74</v>
      </c>
      <c r="AB828" t="s">
        <v>10013</v>
      </c>
      <c r="AC828" t="s">
        <v>74</v>
      </c>
      <c r="AD828" t="s">
        <v>74</v>
      </c>
      <c r="AE828" t="s">
        <v>74</v>
      </c>
      <c r="AF828" t="s">
        <v>74</v>
      </c>
      <c r="AG828">
        <v>74</v>
      </c>
      <c r="AH828">
        <v>17</v>
      </c>
      <c r="AI828">
        <v>19</v>
      </c>
      <c r="AJ828">
        <v>0</v>
      </c>
      <c r="AK828">
        <v>4</v>
      </c>
      <c r="AL828" t="s">
        <v>213</v>
      </c>
      <c r="AM828" t="s">
        <v>214</v>
      </c>
      <c r="AN828" t="s">
        <v>9930</v>
      </c>
      <c r="AO828" t="s">
        <v>216</v>
      </c>
      <c r="AP828" t="s">
        <v>74</v>
      </c>
      <c r="AQ828" t="s">
        <v>74</v>
      </c>
      <c r="AR828" t="s">
        <v>217</v>
      </c>
      <c r="AS828" t="s">
        <v>218</v>
      </c>
      <c r="AT828" t="s">
        <v>9908</v>
      </c>
      <c r="AU828">
        <v>1997</v>
      </c>
      <c r="AV828">
        <v>9</v>
      </c>
      <c r="AW828">
        <v>3</v>
      </c>
      <c r="AX828" t="s">
        <v>74</v>
      </c>
      <c r="AY828" t="s">
        <v>74</v>
      </c>
      <c r="AZ828" t="s">
        <v>74</v>
      </c>
      <c r="BA828" t="s">
        <v>74</v>
      </c>
      <c r="BB828">
        <v>313</v>
      </c>
      <c r="BC828">
        <v>335</v>
      </c>
      <c r="BD828" t="s">
        <v>74</v>
      </c>
      <c r="BE828" t="s">
        <v>10014</v>
      </c>
      <c r="BF828" t="str">
        <f>HYPERLINK("http://dx.doi.org/10.1017/S0954102097000400","http://dx.doi.org/10.1017/S0954102097000400")</f>
        <v>http://dx.doi.org/10.1017/S0954102097000400</v>
      </c>
      <c r="BG828" t="s">
        <v>74</v>
      </c>
      <c r="BH828" t="s">
        <v>74</v>
      </c>
      <c r="BI828">
        <v>23</v>
      </c>
      <c r="BJ828" t="s">
        <v>220</v>
      </c>
      <c r="BK828" t="s">
        <v>98</v>
      </c>
      <c r="BL828" t="s">
        <v>221</v>
      </c>
      <c r="BM828" t="s">
        <v>9932</v>
      </c>
      <c r="BN828" t="s">
        <v>74</v>
      </c>
      <c r="BO828" t="s">
        <v>1351</v>
      </c>
      <c r="BP828" t="s">
        <v>74</v>
      </c>
      <c r="BQ828" t="s">
        <v>74</v>
      </c>
      <c r="BR828" t="s">
        <v>101</v>
      </c>
      <c r="BS828" t="s">
        <v>10015</v>
      </c>
      <c r="BT828" t="str">
        <f>HYPERLINK("https%3A%2F%2Fwww.webofscience.com%2Fwos%2Fwoscc%2Ffull-record%2FWOS:A1997XV76100011","View Full Record in Web of Science")</f>
        <v>View Full Record in Web of Science</v>
      </c>
    </row>
    <row r="829" spans="1:72" x14ac:dyDescent="0.15">
      <c r="A829" t="s">
        <v>72</v>
      </c>
      <c r="B829" t="s">
        <v>10016</v>
      </c>
      <c r="C829" t="s">
        <v>74</v>
      </c>
      <c r="D829" t="s">
        <v>74</v>
      </c>
      <c r="E829" t="s">
        <v>74</v>
      </c>
      <c r="F829" t="s">
        <v>10016</v>
      </c>
      <c r="G829" t="s">
        <v>74</v>
      </c>
      <c r="H829" t="s">
        <v>74</v>
      </c>
      <c r="I829" t="s">
        <v>10017</v>
      </c>
      <c r="J829" t="s">
        <v>211</v>
      </c>
      <c r="K829" t="s">
        <v>74</v>
      </c>
      <c r="L829" t="s">
        <v>74</v>
      </c>
      <c r="M829" t="s">
        <v>77</v>
      </c>
      <c r="N829" t="s">
        <v>78</v>
      </c>
      <c r="O829" t="s">
        <v>74</v>
      </c>
      <c r="P829" t="s">
        <v>74</v>
      </c>
      <c r="Q829" t="s">
        <v>74</v>
      </c>
      <c r="R829" t="s">
        <v>74</v>
      </c>
      <c r="S829" t="s">
        <v>74</v>
      </c>
      <c r="T829" t="s">
        <v>10018</v>
      </c>
      <c r="U829" t="s">
        <v>10019</v>
      </c>
      <c r="V829" t="s">
        <v>10020</v>
      </c>
      <c r="W829" t="s">
        <v>74</v>
      </c>
      <c r="X829" t="s">
        <v>74</v>
      </c>
      <c r="Y829" t="s">
        <v>10021</v>
      </c>
      <c r="Z829" t="s">
        <v>74</v>
      </c>
      <c r="AA829" t="s">
        <v>74</v>
      </c>
      <c r="AB829" t="s">
        <v>10022</v>
      </c>
      <c r="AC829" t="s">
        <v>74</v>
      </c>
      <c r="AD829" t="s">
        <v>74</v>
      </c>
      <c r="AE829" t="s">
        <v>74</v>
      </c>
      <c r="AF829" t="s">
        <v>74</v>
      </c>
      <c r="AG829">
        <v>58</v>
      </c>
      <c r="AH829">
        <v>24</v>
      </c>
      <c r="AI829">
        <v>24</v>
      </c>
      <c r="AJ829">
        <v>0</v>
      </c>
      <c r="AK829">
        <v>0</v>
      </c>
      <c r="AL829" t="s">
        <v>213</v>
      </c>
      <c r="AM829" t="s">
        <v>214</v>
      </c>
      <c r="AN829" t="s">
        <v>9930</v>
      </c>
      <c r="AO829" t="s">
        <v>216</v>
      </c>
      <c r="AP829" t="s">
        <v>74</v>
      </c>
      <c r="AQ829" t="s">
        <v>74</v>
      </c>
      <c r="AR829" t="s">
        <v>217</v>
      </c>
      <c r="AS829" t="s">
        <v>218</v>
      </c>
      <c r="AT829" t="s">
        <v>9908</v>
      </c>
      <c r="AU829">
        <v>1997</v>
      </c>
      <c r="AV829">
        <v>9</v>
      </c>
      <c r="AW829">
        <v>3</v>
      </c>
      <c r="AX829" t="s">
        <v>74</v>
      </c>
      <c r="AY829" t="s">
        <v>74</v>
      </c>
      <c r="AZ829" t="s">
        <v>74</v>
      </c>
      <c r="BA829" t="s">
        <v>74</v>
      </c>
      <c r="BB829">
        <v>336</v>
      </c>
      <c r="BC829">
        <v>346</v>
      </c>
      <c r="BD829" t="s">
        <v>74</v>
      </c>
      <c r="BE829" t="s">
        <v>10023</v>
      </c>
      <c r="BF829" t="str">
        <f>HYPERLINK("http://dx.doi.org/10.1017/S0954102097000412","http://dx.doi.org/10.1017/S0954102097000412")</f>
        <v>http://dx.doi.org/10.1017/S0954102097000412</v>
      </c>
      <c r="BG829" t="s">
        <v>74</v>
      </c>
      <c r="BH829" t="s">
        <v>74</v>
      </c>
      <c r="BI829">
        <v>11</v>
      </c>
      <c r="BJ829" t="s">
        <v>220</v>
      </c>
      <c r="BK829" t="s">
        <v>98</v>
      </c>
      <c r="BL829" t="s">
        <v>221</v>
      </c>
      <c r="BM829" t="s">
        <v>9932</v>
      </c>
      <c r="BN829" t="s">
        <v>74</v>
      </c>
      <c r="BO829" t="s">
        <v>74</v>
      </c>
      <c r="BP829" t="s">
        <v>74</v>
      </c>
      <c r="BQ829" t="s">
        <v>74</v>
      </c>
      <c r="BR829" t="s">
        <v>101</v>
      </c>
      <c r="BS829" t="s">
        <v>10024</v>
      </c>
      <c r="BT829" t="str">
        <f>HYPERLINK("https%3A%2F%2Fwww.webofscience.com%2Fwos%2Fwoscc%2Ffull-record%2FWOS:A1997XV76100012","View Full Record in Web of Science")</f>
        <v>View Full Record in Web of Science</v>
      </c>
    </row>
    <row r="830" spans="1:72" x14ac:dyDescent="0.15">
      <c r="A830" t="s">
        <v>72</v>
      </c>
      <c r="B830" t="s">
        <v>10025</v>
      </c>
      <c r="C830" t="s">
        <v>74</v>
      </c>
      <c r="D830" t="s">
        <v>74</v>
      </c>
      <c r="E830" t="s">
        <v>74</v>
      </c>
      <c r="F830" t="s">
        <v>10025</v>
      </c>
      <c r="G830" t="s">
        <v>74</v>
      </c>
      <c r="H830" t="s">
        <v>74</v>
      </c>
      <c r="I830" t="s">
        <v>10026</v>
      </c>
      <c r="J830" t="s">
        <v>211</v>
      </c>
      <c r="K830" t="s">
        <v>74</v>
      </c>
      <c r="L830" t="s">
        <v>74</v>
      </c>
      <c r="M830" t="s">
        <v>77</v>
      </c>
      <c r="N830" t="s">
        <v>78</v>
      </c>
      <c r="O830" t="s">
        <v>74</v>
      </c>
      <c r="P830" t="s">
        <v>74</v>
      </c>
      <c r="Q830" t="s">
        <v>74</v>
      </c>
      <c r="R830" t="s">
        <v>74</v>
      </c>
      <c r="S830" t="s">
        <v>74</v>
      </c>
      <c r="T830" t="s">
        <v>10027</v>
      </c>
      <c r="U830" t="s">
        <v>10028</v>
      </c>
      <c r="V830" t="s">
        <v>10029</v>
      </c>
      <c r="W830" t="s">
        <v>10030</v>
      </c>
      <c r="X830" t="s">
        <v>10031</v>
      </c>
      <c r="Y830" t="s">
        <v>10032</v>
      </c>
      <c r="Z830" t="s">
        <v>74</v>
      </c>
      <c r="AA830" t="s">
        <v>10033</v>
      </c>
      <c r="AB830" t="s">
        <v>10034</v>
      </c>
      <c r="AC830" t="s">
        <v>74</v>
      </c>
      <c r="AD830" t="s">
        <v>74</v>
      </c>
      <c r="AE830" t="s">
        <v>74</v>
      </c>
      <c r="AF830" t="s">
        <v>74</v>
      </c>
      <c r="AG830">
        <v>28</v>
      </c>
      <c r="AH830">
        <v>12</v>
      </c>
      <c r="AI830">
        <v>12</v>
      </c>
      <c r="AJ830">
        <v>1</v>
      </c>
      <c r="AK830">
        <v>2</v>
      </c>
      <c r="AL830" t="s">
        <v>213</v>
      </c>
      <c r="AM830" t="s">
        <v>214</v>
      </c>
      <c r="AN830" t="s">
        <v>9930</v>
      </c>
      <c r="AO830" t="s">
        <v>216</v>
      </c>
      <c r="AP830" t="s">
        <v>74</v>
      </c>
      <c r="AQ830" t="s">
        <v>74</v>
      </c>
      <c r="AR830" t="s">
        <v>217</v>
      </c>
      <c r="AS830" t="s">
        <v>218</v>
      </c>
      <c r="AT830" t="s">
        <v>9908</v>
      </c>
      <c r="AU830">
        <v>1997</v>
      </c>
      <c r="AV830">
        <v>9</v>
      </c>
      <c r="AW830">
        <v>3</v>
      </c>
      <c r="AX830" t="s">
        <v>74</v>
      </c>
      <c r="AY830" t="s">
        <v>74</v>
      </c>
      <c r="AZ830" t="s">
        <v>74</v>
      </c>
      <c r="BA830" t="s">
        <v>74</v>
      </c>
      <c r="BB830">
        <v>347</v>
      </c>
      <c r="BC830">
        <v>354</v>
      </c>
      <c r="BD830" t="s">
        <v>74</v>
      </c>
      <c r="BE830" t="s">
        <v>10035</v>
      </c>
      <c r="BF830" t="str">
        <f>HYPERLINK("http://dx.doi.org/10.1017/S0954102097000424","http://dx.doi.org/10.1017/S0954102097000424")</f>
        <v>http://dx.doi.org/10.1017/S0954102097000424</v>
      </c>
      <c r="BG830" t="s">
        <v>74</v>
      </c>
      <c r="BH830" t="s">
        <v>74</v>
      </c>
      <c r="BI830">
        <v>8</v>
      </c>
      <c r="BJ830" t="s">
        <v>220</v>
      </c>
      <c r="BK830" t="s">
        <v>98</v>
      </c>
      <c r="BL830" t="s">
        <v>221</v>
      </c>
      <c r="BM830" t="s">
        <v>9932</v>
      </c>
      <c r="BN830" t="s">
        <v>74</v>
      </c>
      <c r="BO830" t="s">
        <v>74</v>
      </c>
      <c r="BP830" t="s">
        <v>74</v>
      </c>
      <c r="BQ830" t="s">
        <v>74</v>
      </c>
      <c r="BR830" t="s">
        <v>101</v>
      </c>
      <c r="BS830" t="s">
        <v>10036</v>
      </c>
      <c r="BT830" t="str">
        <f>HYPERLINK("https%3A%2F%2Fwww.webofscience.com%2Fwos%2Fwoscc%2Ffull-record%2FWOS:A1997XV76100013","View Full Record in Web of Science")</f>
        <v>View Full Record in Web of Science</v>
      </c>
    </row>
    <row r="831" spans="1:72" x14ac:dyDescent="0.15">
      <c r="A831" t="s">
        <v>72</v>
      </c>
      <c r="B831" t="s">
        <v>10037</v>
      </c>
      <c r="C831" t="s">
        <v>74</v>
      </c>
      <c r="D831" t="s">
        <v>74</v>
      </c>
      <c r="E831" t="s">
        <v>74</v>
      </c>
      <c r="F831" t="s">
        <v>10037</v>
      </c>
      <c r="G831" t="s">
        <v>74</v>
      </c>
      <c r="H831" t="s">
        <v>74</v>
      </c>
      <c r="I831" t="s">
        <v>10038</v>
      </c>
      <c r="J831" t="s">
        <v>211</v>
      </c>
      <c r="K831" t="s">
        <v>74</v>
      </c>
      <c r="L831" t="s">
        <v>74</v>
      </c>
      <c r="M831" t="s">
        <v>77</v>
      </c>
      <c r="N831" t="s">
        <v>78</v>
      </c>
      <c r="O831" t="s">
        <v>74</v>
      </c>
      <c r="P831" t="s">
        <v>74</v>
      </c>
      <c r="Q831" t="s">
        <v>74</v>
      </c>
      <c r="R831" t="s">
        <v>74</v>
      </c>
      <c r="S831" t="s">
        <v>74</v>
      </c>
      <c r="T831" t="s">
        <v>10039</v>
      </c>
      <c r="U831" t="s">
        <v>10040</v>
      </c>
      <c r="V831" t="s">
        <v>10041</v>
      </c>
      <c r="W831" t="s">
        <v>74</v>
      </c>
      <c r="X831" t="s">
        <v>74</v>
      </c>
      <c r="Y831" t="s">
        <v>10042</v>
      </c>
      <c r="Z831" t="s">
        <v>74</v>
      </c>
      <c r="AA831" t="s">
        <v>74</v>
      </c>
      <c r="AB831" t="s">
        <v>74</v>
      </c>
      <c r="AC831" t="s">
        <v>74</v>
      </c>
      <c r="AD831" t="s">
        <v>74</v>
      </c>
      <c r="AE831" t="s">
        <v>74</v>
      </c>
      <c r="AF831" t="s">
        <v>74</v>
      </c>
      <c r="AG831">
        <v>21</v>
      </c>
      <c r="AH831">
        <v>24</v>
      </c>
      <c r="AI831">
        <v>25</v>
      </c>
      <c r="AJ831">
        <v>0</v>
      </c>
      <c r="AK831">
        <v>1</v>
      </c>
      <c r="AL831" t="s">
        <v>213</v>
      </c>
      <c r="AM831" t="s">
        <v>214</v>
      </c>
      <c r="AN831" t="s">
        <v>9930</v>
      </c>
      <c r="AO831" t="s">
        <v>216</v>
      </c>
      <c r="AP831" t="s">
        <v>74</v>
      </c>
      <c r="AQ831" t="s">
        <v>74</v>
      </c>
      <c r="AR831" t="s">
        <v>217</v>
      </c>
      <c r="AS831" t="s">
        <v>218</v>
      </c>
      <c r="AT831" t="s">
        <v>9908</v>
      </c>
      <c r="AU831">
        <v>1997</v>
      </c>
      <c r="AV831">
        <v>9</v>
      </c>
      <c r="AW831">
        <v>3</v>
      </c>
      <c r="AX831" t="s">
        <v>74</v>
      </c>
      <c r="AY831" t="s">
        <v>74</v>
      </c>
      <c r="AZ831" t="s">
        <v>74</v>
      </c>
      <c r="BA831" t="s">
        <v>74</v>
      </c>
      <c r="BB831">
        <v>355</v>
      </c>
      <c r="BC831">
        <v>363</v>
      </c>
      <c r="BD831" t="s">
        <v>74</v>
      </c>
      <c r="BE831" t="s">
        <v>10043</v>
      </c>
      <c r="BF831" t="str">
        <f>HYPERLINK("http://dx.doi.org/10.1017/S0954102097000436","http://dx.doi.org/10.1017/S0954102097000436")</f>
        <v>http://dx.doi.org/10.1017/S0954102097000436</v>
      </c>
      <c r="BG831" t="s">
        <v>74</v>
      </c>
      <c r="BH831" t="s">
        <v>74</v>
      </c>
      <c r="BI831">
        <v>9</v>
      </c>
      <c r="BJ831" t="s">
        <v>220</v>
      </c>
      <c r="BK831" t="s">
        <v>98</v>
      </c>
      <c r="BL831" t="s">
        <v>221</v>
      </c>
      <c r="BM831" t="s">
        <v>9932</v>
      </c>
      <c r="BN831" t="s">
        <v>74</v>
      </c>
      <c r="BO831" t="s">
        <v>74</v>
      </c>
      <c r="BP831" t="s">
        <v>74</v>
      </c>
      <c r="BQ831" t="s">
        <v>74</v>
      </c>
      <c r="BR831" t="s">
        <v>101</v>
      </c>
      <c r="BS831" t="s">
        <v>10044</v>
      </c>
      <c r="BT831" t="str">
        <f>HYPERLINK("https%3A%2F%2Fwww.webofscience.com%2Fwos%2Fwoscc%2Ffull-record%2FWOS:A1997XV76100014","View Full Record in Web of Science")</f>
        <v>View Full Record in Web of Science</v>
      </c>
    </row>
    <row r="832" spans="1:72" x14ac:dyDescent="0.15">
      <c r="A832" t="s">
        <v>72</v>
      </c>
      <c r="B832" t="s">
        <v>10045</v>
      </c>
      <c r="C832" t="s">
        <v>74</v>
      </c>
      <c r="D832" t="s">
        <v>74</v>
      </c>
      <c r="E832" t="s">
        <v>74</v>
      </c>
      <c r="F832" t="s">
        <v>10045</v>
      </c>
      <c r="G832" t="s">
        <v>74</v>
      </c>
      <c r="H832" t="s">
        <v>74</v>
      </c>
      <c r="I832" t="s">
        <v>10046</v>
      </c>
      <c r="J832" t="s">
        <v>7160</v>
      </c>
      <c r="K832" t="s">
        <v>74</v>
      </c>
      <c r="L832" t="s">
        <v>74</v>
      </c>
      <c r="M832" t="s">
        <v>77</v>
      </c>
      <c r="N832" t="s">
        <v>379</v>
      </c>
      <c r="O832" t="s">
        <v>10047</v>
      </c>
      <c r="P832" t="s">
        <v>10048</v>
      </c>
      <c r="Q832" t="s">
        <v>2816</v>
      </c>
      <c r="R832" t="s">
        <v>74</v>
      </c>
      <c r="S832" t="s">
        <v>74</v>
      </c>
      <c r="T832" t="s">
        <v>74</v>
      </c>
      <c r="U832" t="s">
        <v>10049</v>
      </c>
      <c r="V832" t="s">
        <v>10050</v>
      </c>
      <c r="W832" t="s">
        <v>74</v>
      </c>
      <c r="X832" t="s">
        <v>74</v>
      </c>
      <c r="Y832" t="s">
        <v>10051</v>
      </c>
      <c r="Z832" t="s">
        <v>74</v>
      </c>
      <c r="AA832" t="s">
        <v>74</v>
      </c>
      <c r="AB832" t="s">
        <v>74</v>
      </c>
      <c r="AC832" t="s">
        <v>74</v>
      </c>
      <c r="AD832" t="s">
        <v>74</v>
      </c>
      <c r="AE832" t="s">
        <v>74</v>
      </c>
      <c r="AF832" t="s">
        <v>74</v>
      </c>
      <c r="AG832">
        <v>20</v>
      </c>
      <c r="AH832">
        <v>0</v>
      </c>
      <c r="AI832">
        <v>0</v>
      </c>
      <c r="AJ832">
        <v>0</v>
      </c>
      <c r="AK832">
        <v>2</v>
      </c>
      <c r="AL832" t="s">
        <v>7166</v>
      </c>
      <c r="AM832" t="s">
        <v>7167</v>
      </c>
      <c r="AN832" t="s">
        <v>10052</v>
      </c>
      <c r="AO832" t="s">
        <v>7169</v>
      </c>
      <c r="AP832" t="s">
        <v>74</v>
      </c>
      <c r="AQ832" t="s">
        <v>74</v>
      </c>
      <c r="AR832" t="s">
        <v>7170</v>
      </c>
      <c r="AS832" t="s">
        <v>7171</v>
      </c>
      <c r="AT832" t="s">
        <v>9908</v>
      </c>
      <c r="AU832">
        <v>1997</v>
      </c>
      <c r="AV832">
        <v>46</v>
      </c>
      <c r="AW832">
        <v>3</v>
      </c>
      <c r="AX832" t="s">
        <v>74</v>
      </c>
      <c r="AY832" t="s">
        <v>74</v>
      </c>
      <c r="AZ832" t="s">
        <v>74</v>
      </c>
      <c r="BA832" t="s">
        <v>74</v>
      </c>
      <c r="BB832">
        <v>171</v>
      </c>
      <c r="BC832">
        <v>177</v>
      </c>
      <c r="BD832" t="s">
        <v>74</v>
      </c>
      <c r="BE832" t="s">
        <v>74</v>
      </c>
      <c r="BF832" t="s">
        <v>74</v>
      </c>
      <c r="BG832" t="s">
        <v>74</v>
      </c>
      <c r="BH832" t="s">
        <v>74</v>
      </c>
      <c r="BI832">
        <v>7</v>
      </c>
      <c r="BJ832" t="s">
        <v>635</v>
      </c>
      <c r="BK832" t="s">
        <v>397</v>
      </c>
      <c r="BL832" t="s">
        <v>635</v>
      </c>
      <c r="BM832" t="s">
        <v>10053</v>
      </c>
      <c r="BN832" t="s">
        <v>74</v>
      </c>
      <c r="BO832" t="s">
        <v>74</v>
      </c>
      <c r="BP832" t="s">
        <v>74</v>
      </c>
      <c r="BQ832" t="s">
        <v>74</v>
      </c>
      <c r="BR832" t="s">
        <v>101</v>
      </c>
      <c r="BS832" t="s">
        <v>10054</v>
      </c>
      <c r="BT832" t="str">
        <f>HYPERLINK("https%3A%2F%2Fwww.webofscience.com%2Fwos%2Fwoscc%2Ffull-record%2FWOS:A1997YA52200003","View Full Record in Web of Science")</f>
        <v>View Full Record in Web of Science</v>
      </c>
    </row>
    <row r="833" spans="1:72" x14ac:dyDescent="0.15">
      <c r="A833" t="s">
        <v>72</v>
      </c>
      <c r="B833" t="s">
        <v>10055</v>
      </c>
      <c r="C833" t="s">
        <v>74</v>
      </c>
      <c r="D833" t="s">
        <v>74</v>
      </c>
      <c r="E833" t="s">
        <v>74</v>
      </c>
      <c r="F833" t="s">
        <v>10055</v>
      </c>
      <c r="G833" t="s">
        <v>74</v>
      </c>
      <c r="H833" t="s">
        <v>74</v>
      </c>
      <c r="I833" t="s">
        <v>10056</v>
      </c>
      <c r="J833" t="s">
        <v>7160</v>
      </c>
      <c r="K833" t="s">
        <v>74</v>
      </c>
      <c r="L833" t="s">
        <v>74</v>
      </c>
      <c r="M833" t="s">
        <v>77</v>
      </c>
      <c r="N833" t="s">
        <v>379</v>
      </c>
      <c r="O833" t="s">
        <v>10047</v>
      </c>
      <c r="P833" t="s">
        <v>10048</v>
      </c>
      <c r="Q833" t="s">
        <v>2816</v>
      </c>
      <c r="R833" t="s">
        <v>74</v>
      </c>
      <c r="S833" t="s">
        <v>74</v>
      </c>
      <c r="T833" t="s">
        <v>74</v>
      </c>
      <c r="U833" t="s">
        <v>10057</v>
      </c>
      <c r="V833" t="s">
        <v>10058</v>
      </c>
      <c r="W833" t="s">
        <v>74</v>
      </c>
      <c r="X833" t="s">
        <v>74</v>
      </c>
      <c r="Y833" t="s">
        <v>10059</v>
      </c>
      <c r="Z833" t="s">
        <v>74</v>
      </c>
      <c r="AA833" t="s">
        <v>10060</v>
      </c>
      <c r="AB833" t="s">
        <v>74</v>
      </c>
      <c r="AC833" t="s">
        <v>74</v>
      </c>
      <c r="AD833" t="s">
        <v>74</v>
      </c>
      <c r="AE833" t="s">
        <v>74</v>
      </c>
      <c r="AF833" t="s">
        <v>74</v>
      </c>
      <c r="AG833">
        <v>43</v>
      </c>
      <c r="AH833">
        <v>6</v>
      </c>
      <c r="AI833">
        <v>6</v>
      </c>
      <c r="AJ833">
        <v>0</v>
      </c>
      <c r="AK833">
        <v>6</v>
      </c>
      <c r="AL833" t="s">
        <v>7166</v>
      </c>
      <c r="AM833" t="s">
        <v>7167</v>
      </c>
      <c r="AN833" t="s">
        <v>10052</v>
      </c>
      <c r="AO833" t="s">
        <v>7169</v>
      </c>
      <c r="AP833" t="s">
        <v>74</v>
      </c>
      <c r="AQ833" t="s">
        <v>74</v>
      </c>
      <c r="AR833" t="s">
        <v>7170</v>
      </c>
      <c r="AS833" t="s">
        <v>7171</v>
      </c>
      <c r="AT833" t="s">
        <v>9908</v>
      </c>
      <c r="AU833">
        <v>1997</v>
      </c>
      <c r="AV833">
        <v>46</v>
      </c>
      <c r="AW833">
        <v>3</v>
      </c>
      <c r="AX833" t="s">
        <v>74</v>
      </c>
      <c r="AY833" t="s">
        <v>74</v>
      </c>
      <c r="AZ833" t="s">
        <v>74</v>
      </c>
      <c r="BA833" t="s">
        <v>74</v>
      </c>
      <c r="BB833">
        <v>185</v>
      </c>
      <c r="BC833">
        <v>193</v>
      </c>
      <c r="BD833" t="s">
        <v>74</v>
      </c>
      <c r="BE833" t="s">
        <v>74</v>
      </c>
      <c r="BF833" t="s">
        <v>74</v>
      </c>
      <c r="BG833" t="s">
        <v>74</v>
      </c>
      <c r="BH833" t="s">
        <v>74</v>
      </c>
      <c r="BI833">
        <v>9</v>
      </c>
      <c r="BJ833" t="s">
        <v>635</v>
      </c>
      <c r="BK833" t="s">
        <v>397</v>
      </c>
      <c r="BL833" t="s">
        <v>635</v>
      </c>
      <c r="BM833" t="s">
        <v>10053</v>
      </c>
      <c r="BN833" t="s">
        <v>74</v>
      </c>
      <c r="BO833" t="s">
        <v>74</v>
      </c>
      <c r="BP833" t="s">
        <v>74</v>
      </c>
      <c r="BQ833" t="s">
        <v>74</v>
      </c>
      <c r="BR833" t="s">
        <v>101</v>
      </c>
      <c r="BS833" t="s">
        <v>10061</v>
      </c>
      <c r="BT833" t="str">
        <f>HYPERLINK("https%3A%2F%2Fwww.webofscience.com%2Fwos%2Fwoscc%2Ffull-record%2FWOS:A1997YA52200005","View Full Record in Web of Science")</f>
        <v>View Full Record in Web of Science</v>
      </c>
    </row>
    <row r="834" spans="1:72" x14ac:dyDescent="0.15">
      <c r="A834" t="s">
        <v>72</v>
      </c>
      <c r="B834" t="s">
        <v>10062</v>
      </c>
      <c r="C834" t="s">
        <v>74</v>
      </c>
      <c r="D834" t="s">
        <v>74</v>
      </c>
      <c r="E834" t="s">
        <v>74</v>
      </c>
      <c r="F834" t="s">
        <v>10062</v>
      </c>
      <c r="G834" t="s">
        <v>74</v>
      </c>
      <c r="H834" t="s">
        <v>74</v>
      </c>
      <c r="I834" t="s">
        <v>10063</v>
      </c>
      <c r="J834" t="s">
        <v>7160</v>
      </c>
      <c r="K834" t="s">
        <v>74</v>
      </c>
      <c r="L834" t="s">
        <v>74</v>
      </c>
      <c r="M834" t="s">
        <v>77</v>
      </c>
      <c r="N834" t="s">
        <v>379</v>
      </c>
      <c r="O834" t="s">
        <v>10047</v>
      </c>
      <c r="P834" t="s">
        <v>10048</v>
      </c>
      <c r="Q834" t="s">
        <v>2816</v>
      </c>
      <c r="R834" t="s">
        <v>74</v>
      </c>
      <c r="S834" t="s">
        <v>74</v>
      </c>
      <c r="T834" t="s">
        <v>74</v>
      </c>
      <c r="U834" t="s">
        <v>10064</v>
      </c>
      <c r="V834" t="s">
        <v>10065</v>
      </c>
      <c r="W834" t="s">
        <v>10066</v>
      </c>
      <c r="X834" t="s">
        <v>74</v>
      </c>
      <c r="Y834" t="s">
        <v>10067</v>
      </c>
      <c r="Z834" t="s">
        <v>74</v>
      </c>
      <c r="AA834" t="s">
        <v>74</v>
      </c>
      <c r="AB834" t="s">
        <v>74</v>
      </c>
      <c r="AC834" t="s">
        <v>74</v>
      </c>
      <c r="AD834" t="s">
        <v>74</v>
      </c>
      <c r="AE834" t="s">
        <v>74</v>
      </c>
      <c r="AF834" t="s">
        <v>74</v>
      </c>
      <c r="AG834">
        <v>25</v>
      </c>
      <c r="AH834">
        <v>6</v>
      </c>
      <c r="AI834">
        <v>6</v>
      </c>
      <c r="AJ834">
        <v>0</v>
      </c>
      <c r="AK834">
        <v>2</v>
      </c>
      <c r="AL834" t="s">
        <v>7166</v>
      </c>
      <c r="AM834" t="s">
        <v>7167</v>
      </c>
      <c r="AN834" t="s">
        <v>10052</v>
      </c>
      <c r="AO834" t="s">
        <v>7169</v>
      </c>
      <c r="AP834" t="s">
        <v>74</v>
      </c>
      <c r="AQ834" t="s">
        <v>74</v>
      </c>
      <c r="AR834" t="s">
        <v>7170</v>
      </c>
      <c r="AS834" t="s">
        <v>7171</v>
      </c>
      <c r="AT834" t="s">
        <v>9908</v>
      </c>
      <c r="AU834">
        <v>1997</v>
      </c>
      <c r="AV834">
        <v>46</v>
      </c>
      <c r="AW834">
        <v>3</v>
      </c>
      <c r="AX834" t="s">
        <v>74</v>
      </c>
      <c r="AY834" t="s">
        <v>74</v>
      </c>
      <c r="AZ834" t="s">
        <v>74</v>
      </c>
      <c r="BA834" t="s">
        <v>74</v>
      </c>
      <c r="BB834">
        <v>195</v>
      </c>
      <c r="BC834">
        <v>201</v>
      </c>
      <c r="BD834" t="s">
        <v>74</v>
      </c>
      <c r="BE834" t="s">
        <v>74</v>
      </c>
      <c r="BF834" t="s">
        <v>74</v>
      </c>
      <c r="BG834" t="s">
        <v>74</v>
      </c>
      <c r="BH834" t="s">
        <v>74</v>
      </c>
      <c r="BI834">
        <v>7</v>
      </c>
      <c r="BJ834" t="s">
        <v>635</v>
      </c>
      <c r="BK834" t="s">
        <v>397</v>
      </c>
      <c r="BL834" t="s">
        <v>635</v>
      </c>
      <c r="BM834" t="s">
        <v>10053</v>
      </c>
      <c r="BN834" t="s">
        <v>74</v>
      </c>
      <c r="BO834" t="s">
        <v>74</v>
      </c>
      <c r="BP834" t="s">
        <v>74</v>
      </c>
      <c r="BQ834" t="s">
        <v>74</v>
      </c>
      <c r="BR834" t="s">
        <v>101</v>
      </c>
      <c r="BS834" t="s">
        <v>10068</v>
      </c>
      <c r="BT834" t="str">
        <f>HYPERLINK("https%3A%2F%2Fwww.webofscience.com%2Fwos%2Fwoscc%2Ffull-record%2FWOS:A1997YA52200006","View Full Record in Web of Science")</f>
        <v>View Full Record in Web of Science</v>
      </c>
    </row>
    <row r="835" spans="1:72" x14ac:dyDescent="0.15">
      <c r="A835" t="s">
        <v>72</v>
      </c>
      <c r="B835" t="s">
        <v>10069</v>
      </c>
      <c r="C835" t="s">
        <v>74</v>
      </c>
      <c r="D835" t="s">
        <v>74</v>
      </c>
      <c r="E835" t="s">
        <v>74</v>
      </c>
      <c r="F835" t="s">
        <v>10069</v>
      </c>
      <c r="G835" t="s">
        <v>74</v>
      </c>
      <c r="H835" t="s">
        <v>74</v>
      </c>
      <c r="I835" t="s">
        <v>10070</v>
      </c>
      <c r="J835" t="s">
        <v>3866</v>
      </c>
      <c r="K835" t="s">
        <v>74</v>
      </c>
      <c r="L835" t="s">
        <v>74</v>
      </c>
      <c r="M835" t="s">
        <v>77</v>
      </c>
      <c r="N835" t="s">
        <v>78</v>
      </c>
      <c r="O835" t="s">
        <v>74</v>
      </c>
      <c r="P835" t="s">
        <v>74</v>
      </c>
      <c r="Q835" t="s">
        <v>74</v>
      </c>
      <c r="R835" t="s">
        <v>74</v>
      </c>
      <c r="S835" t="s">
        <v>74</v>
      </c>
      <c r="T835" t="s">
        <v>74</v>
      </c>
      <c r="U835" t="s">
        <v>10071</v>
      </c>
      <c r="V835" t="s">
        <v>10072</v>
      </c>
      <c r="W835" t="s">
        <v>10073</v>
      </c>
      <c r="X835" t="s">
        <v>10074</v>
      </c>
      <c r="Y835" t="s">
        <v>74</v>
      </c>
      <c r="Z835" t="s">
        <v>74</v>
      </c>
      <c r="AA835" t="s">
        <v>74</v>
      </c>
      <c r="AB835" t="s">
        <v>74</v>
      </c>
      <c r="AC835" t="s">
        <v>74</v>
      </c>
      <c r="AD835" t="s">
        <v>74</v>
      </c>
      <c r="AE835" t="s">
        <v>74</v>
      </c>
      <c r="AF835" t="s">
        <v>74</v>
      </c>
      <c r="AG835">
        <v>28</v>
      </c>
      <c r="AH835">
        <v>5</v>
      </c>
      <c r="AI835">
        <v>6</v>
      </c>
      <c r="AJ835">
        <v>0</v>
      </c>
      <c r="AK835">
        <v>0</v>
      </c>
      <c r="AL835" t="s">
        <v>3872</v>
      </c>
      <c r="AM835" t="s">
        <v>3873</v>
      </c>
      <c r="AN835" t="s">
        <v>3874</v>
      </c>
      <c r="AO835" t="s">
        <v>3875</v>
      </c>
      <c r="AP835" t="s">
        <v>7180</v>
      </c>
      <c r="AQ835" t="s">
        <v>74</v>
      </c>
      <c r="AR835" t="s">
        <v>3876</v>
      </c>
      <c r="AS835" t="s">
        <v>3877</v>
      </c>
      <c r="AT835" t="s">
        <v>9908</v>
      </c>
      <c r="AU835">
        <v>1997</v>
      </c>
      <c r="AV835">
        <v>68</v>
      </c>
      <c r="AW835">
        <v>9</v>
      </c>
      <c r="AX835" t="s">
        <v>74</v>
      </c>
      <c r="AY835" t="s">
        <v>74</v>
      </c>
      <c r="AZ835" t="s">
        <v>74</v>
      </c>
      <c r="BA835" t="s">
        <v>74</v>
      </c>
      <c r="BB835">
        <v>795</v>
      </c>
      <c r="BC835">
        <v>801</v>
      </c>
      <c r="BD835" t="s">
        <v>74</v>
      </c>
      <c r="BE835" t="s">
        <v>74</v>
      </c>
      <c r="BF835" t="s">
        <v>74</v>
      </c>
      <c r="BG835" t="s">
        <v>74</v>
      </c>
      <c r="BH835" t="s">
        <v>74</v>
      </c>
      <c r="BI835">
        <v>7</v>
      </c>
      <c r="BJ835" t="s">
        <v>3878</v>
      </c>
      <c r="BK835" t="s">
        <v>98</v>
      </c>
      <c r="BL835" t="s">
        <v>3880</v>
      </c>
      <c r="BM835" t="s">
        <v>10075</v>
      </c>
      <c r="BN835">
        <v>9293347</v>
      </c>
      <c r="BO835" t="s">
        <v>74</v>
      </c>
      <c r="BP835" t="s">
        <v>74</v>
      </c>
      <c r="BQ835" t="s">
        <v>74</v>
      </c>
      <c r="BR835" t="s">
        <v>101</v>
      </c>
      <c r="BS835" t="s">
        <v>10076</v>
      </c>
      <c r="BT835" t="str">
        <f>HYPERLINK("https%3A%2F%2Fwww.webofscience.com%2Fwos%2Fwoscc%2Ffull-record%2FWOS:A1997XU84700003","View Full Record in Web of Science")</f>
        <v>View Full Record in Web of Science</v>
      </c>
    </row>
    <row r="836" spans="1:72" x14ac:dyDescent="0.15">
      <c r="A836" t="s">
        <v>72</v>
      </c>
      <c r="B836" t="s">
        <v>10077</v>
      </c>
      <c r="C836" t="s">
        <v>74</v>
      </c>
      <c r="D836" t="s">
        <v>74</v>
      </c>
      <c r="E836" t="s">
        <v>74</v>
      </c>
      <c r="F836" t="s">
        <v>10077</v>
      </c>
      <c r="G836" t="s">
        <v>74</v>
      </c>
      <c r="H836" t="s">
        <v>74</v>
      </c>
      <c r="I836" t="s">
        <v>10078</v>
      </c>
      <c r="J836" t="s">
        <v>10079</v>
      </c>
      <c r="K836" t="s">
        <v>74</v>
      </c>
      <c r="L836" t="s">
        <v>74</v>
      </c>
      <c r="M836" t="s">
        <v>77</v>
      </c>
      <c r="N836" t="s">
        <v>78</v>
      </c>
      <c r="O836" t="s">
        <v>74</v>
      </c>
      <c r="P836" t="s">
        <v>74</v>
      </c>
      <c r="Q836" t="s">
        <v>74</v>
      </c>
      <c r="R836" t="s">
        <v>74</v>
      </c>
      <c r="S836" t="s">
        <v>74</v>
      </c>
      <c r="T836" t="s">
        <v>74</v>
      </c>
      <c r="U836" t="s">
        <v>10080</v>
      </c>
      <c r="V836" t="s">
        <v>10081</v>
      </c>
      <c r="W836" t="s">
        <v>74</v>
      </c>
      <c r="X836" t="s">
        <v>74</v>
      </c>
      <c r="Y836" t="s">
        <v>10082</v>
      </c>
      <c r="Z836" t="s">
        <v>74</v>
      </c>
      <c r="AA836" t="s">
        <v>74</v>
      </c>
      <c r="AB836" t="s">
        <v>74</v>
      </c>
      <c r="AC836" t="s">
        <v>74</v>
      </c>
      <c r="AD836" t="s">
        <v>74</v>
      </c>
      <c r="AE836" t="s">
        <v>74</v>
      </c>
      <c r="AF836" t="s">
        <v>74</v>
      </c>
      <c r="AG836">
        <v>26</v>
      </c>
      <c r="AH836">
        <v>54</v>
      </c>
      <c r="AI836">
        <v>56</v>
      </c>
      <c r="AJ836">
        <v>1</v>
      </c>
      <c r="AK836">
        <v>14</v>
      </c>
      <c r="AL836" t="s">
        <v>8351</v>
      </c>
      <c r="AM836" t="s">
        <v>8352</v>
      </c>
      <c r="AN836" t="s">
        <v>8353</v>
      </c>
      <c r="AO836" t="s">
        <v>10083</v>
      </c>
      <c r="AP836" t="s">
        <v>10084</v>
      </c>
      <c r="AQ836" t="s">
        <v>74</v>
      </c>
      <c r="AR836" t="s">
        <v>10085</v>
      </c>
      <c r="AS836" t="s">
        <v>10086</v>
      </c>
      <c r="AT836" t="s">
        <v>9891</v>
      </c>
      <c r="AU836">
        <v>1997</v>
      </c>
      <c r="AV836">
        <v>8</v>
      </c>
      <c r="AW836">
        <v>5</v>
      </c>
      <c r="AX836" t="s">
        <v>74</v>
      </c>
      <c r="AY836" t="s">
        <v>74</v>
      </c>
      <c r="AZ836" t="s">
        <v>74</v>
      </c>
      <c r="BA836" t="s">
        <v>74</v>
      </c>
      <c r="BB836">
        <v>465</v>
      </c>
      <c r="BC836">
        <v>469</v>
      </c>
      <c r="BD836" t="s">
        <v>74</v>
      </c>
      <c r="BE836" t="s">
        <v>10087</v>
      </c>
      <c r="BF836" t="str">
        <f>HYPERLINK("http://dx.doi.org/10.1093/beheco/8.5.465","http://dx.doi.org/10.1093/beheco/8.5.465")</f>
        <v>http://dx.doi.org/10.1093/beheco/8.5.465</v>
      </c>
      <c r="BG836" t="s">
        <v>74</v>
      </c>
      <c r="BH836" t="s">
        <v>74</v>
      </c>
      <c r="BI836">
        <v>5</v>
      </c>
      <c r="BJ836" t="s">
        <v>10088</v>
      </c>
      <c r="BK836" t="s">
        <v>98</v>
      </c>
      <c r="BL836" t="s">
        <v>10089</v>
      </c>
      <c r="BM836" t="s">
        <v>10090</v>
      </c>
      <c r="BN836" t="s">
        <v>74</v>
      </c>
      <c r="BO836" t="s">
        <v>100</v>
      </c>
      <c r="BP836" t="s">
        <v>74</v>
      </c>
      <c r="BQ836" t="s">
        <v>74</v>
      </c>
      <c r="BR836" t="s">
        <v>101</v>
      </c>
      <c r="BS836" t="s">
        <v>10091</v>
      </c>
      <c r="BT836" t="str">
        <f>HYPERLINK("https%3A%2F%2Fwww.webofscience.com%2Fwos%2Fwoscc%2Ffull-record%2FWOS:A1997XX33800001","View Full Record in Web of Science")</f>
        <v>View Full Record in Web of Science</v>
      </c>
    </row>
    <row r="837" spans="1:72" x14ac:dyDescent="0.15">
      <c r="A837" t="s">
        <v>72</v>
      </c>
      <c r="B837" t="s">
        <v>10092</v>
      </c>
      <c r="C837" t="s">
        <v>74</v>
      </c>
      <c r="D837" t="s">
        <v>74</v>
      </c>
      <c r="E837" t="s">
        <v>74</v>
      </c>
      <c r="F837" t="s">
        <v>10092</v>
      </c>
      <c r="G837" t="s">
        <v>74</v>
      </c>
      <c r="H837" t="s">
        <v>74</v>
      </c>
      <c r="I837" t="s">
        <v>10093</v>
      </c>
      <c r="J837" t="s">
        <v>10094</v>
      </c>
      <c r="K837" t="s">
        <v>74</v>
      </c>
      <c r="L837" t="s">
        <v>74</v>
      </c>
      <c r="M837" t="s">
        <v>2735</v>
      </c>
      <c r="N837" t="s">
        <v>78</v>
      </c>
      <c r="O837" t="s">
        <v>74</v>
      </c>
      <c r="P837" t="s">
        <v>74</v>
      </c>
      <c r="Q837" t="s">
        <v>74</v>
      </c>
      <c r="R837" t="s">
        <v>74</v>
      </c>
      <c r="S837" t="s">
        <v>74</v>
      </c>
      <c r="T837" t="s">
        <v>10095</v>
      </c>
      <c r="U837" t="s">
        <v>10096</v>
      </c>
      <c r="V837" t="s">
        <v>10097</v>
      </c>
      <c r="W837" t="s">
        <v>10098</v>
      </c>
      <c r="X837" t="s">
        <v>10099</v>
      </c>
      <c r="Y837" t="s">
        <v>10100</v>
      </c>
      <c r="Z837" t="s">
        <v>74</v>
      </c>
      <c r="AA837" t="s">
        <v>74</v>
      </c>
      <c r="AB837" t="s">
        <v>74</v>
      </c>
      <c r="AC837" t="s">
        <v>74</v>
      </c>
      <c r="AD837" t="s">
        <v>74</v>
      </c>
      <c r="AE837" t="s">
        <v>74</v>
      </c>
      <c r="AF837" t="s">
        <v>74</v>
      </c>
      <c r="AG837">
        <v>23</v>
      </c>
      <c r="AH837">
        <v>3</v>
      </c>
      <c r="AI837">
        <v>3</v>
      </c>
      <c r="AJ837">
        <v>0</v>
      </c>
      <c r="AK837">
        <v>2</v>
      </c>
      <c r="AL837" t="s">
        <v>10101</v>
      </c>
      <c r="AM837" t="s">
        <v>4328</v>
      </c>
      <c r="AN837" t="s">
        <v>10102</v>
      </c>
      <c r="AO837" t="s">
        <v>74</v>
      </c>
      <c r="AP837" t="s">
        <v>74</v>
      </c>
      <c r="AQ837" t="s">
        <v>74</v>
      </c>
      <c r="AR837" t="s">
        <v>10103</v>
      </c>
      <c r="AS837" t="s">
        <v>10104</v>
      </c>
      <c r="AT837" t="s">
        <v>9908</v>
      </c>
      <c r="AU837">
        <v>1997</v>
      </c>
      <c r="AV837">
        <v>325</v>
      </c>
      <c r="AW837">
        <v>5</v>
      </c>
      <c r="AX837" t="s">
        <v>74</v>
      </c>
      <c r="AY837" t="s">
        <v>74</v>
      </c>
      <c r="AZ837" t="s">
        <v>74</v>
      </c>
      <c r="BA837" t="s">
        <v>74</v>
      </c>
      <c r="BB837">
        <v>343</v>
      </c>
      <c r="BC837">
        <v>349</v>
      </c>
      <c r="BD837" t="s">
        <v>74</v>
      </c>
      <c r="BE837" t="s">
        <v>10105</v>
      </c>
      <c r="BF837" t="str">
        <f>HYPERLINK("http://dx.doi.org/10.1016/S1251-8050(97)81382-1","http://dx.doi.org/10.1016/S1251-8050(97)81382-1")</f>
        <v>http://dx.doi.org/10.1016/S1251-8050(97)81382-1</v>
      </c>
      <c r="BG837" t="s">
        <v>74</v>
      </c>
      <c r="BH837" t="s">
        <v>74</v>
      </c>
      <c r="BI837">
        <v>7</v>
      </c>
      <c r="BJ837" t="s">
        <v>769</v>
      </c>
      <c r="BK837" t="s">
        <v>98</v>
      </c>
      <c r="BL837" t="s">
        <v>471</v>
      </c>
      <c r="BM837" t="s">
        <v>10106</v>
      </c>
      <c r="BN837" t="s">
        <v>74</v>
      </c>
      <c r="BO837" t="s">
        <v>74</v>
      </c>
      <c r="BP837" t="s">
        <v>74</v>
      </c>
      <c r="BQ837" t="s">
        <v>74</v>
      </c>
      <c r="BR837" t="s">
        <v>101</v>
      </c>
      <c r="BS837" t="s">
        <v>10107</v>
      </c>
      <c r="BT837" t="str">
        <f>HYPERLINK("https%3A%2F%2Fwww.webofscience.com%2Fwos%2Fwoscc%2Ffull-record%2FWOS:A1997XZ94600006","View Full Record in Web of Science")</f>
        <v>View Full Record in Web of Science</v>
      </c>
    </row>
    <row r="838" spans="1:72" x14ac:dyDescent="0.15">
      <c r="A838" t="s">
        <v>72</v>
      </c>
      <c r="B838" t="s">
        <v>10108</v>
      </c>
      <c r="C838" t="s">
        <v>74</v>
      </c>
      <c r="D838" t="s">
        <v>74</v>
      </c>
      <c r="E838" t="s">
        <v>74</v>
      </c>
      <c r="F838" t="s">
        <v>10108</v>
      </c>
      <c r="G838" t="s">
        <v>74</v>
      </c>
      <c r="H838" t="s">
        <v>74</v>
      </c>
      <c r="I838" t="s">
        <v>10109</v>
      </c>
      <c r="J838" t="s">
        <v>8360</v>
      </c>
      <c r="K838" t="s">
        <v>74</v>
      </c>
      <c r="L838" t="s">
        <v>74</v>
      </c>
      <c r="M838" t="s">
        <v>77</v>
      </c>
      <c r="N838" t="s">
        <v>78</v>
      </c>
      <c r="O838" t="s">
        <v>74</v>
      </c>
      <c r="P838" t="s">
        <v>74</v>
      </c>
      <c r="Q838" t="s">
        <v>74</v>
      </c>
      <c r="R838" t="s">
        <v>74</v>
      </c>
      <c r="S838" t="s">
        <v>74</v>
      </c>
      <c r="T838" t="s">
        <v>10110</v>
      </c>
      <c r="U838" t="s">
        <v>10111</v>
      </c>
      <c r="V838" t="s">
        <v>10112</v>
      </c>
      <c r="W838" t="s">
        <v>10113</v>
      </c>
      <c r="X838" t="s">
        <v>10114</v>
      </c>
      <c r="Y838" t="s">
        <v>10115</v>
      </c>
      <c r="Z838" t="s">
        <v>74</v>
      </c>
      <c r="AA838" t="s">
        <v>10116</v>
      </c>
      <c r="AB838" t="s">
        <v>10117</v>
      </c>
      <c r="AC838" t="s">
        <v>74</v>
      </c>
      <c r="AD838" t="s">
        <v>74</v>
      </c>
      <c r="AE838" t="s">
        <v>74</v>
      </c>
      <c r="AF838" t="s">
        <v>74</v>
      </c>
      <c r="AG838">
        <v>28</v>
      </c>
      <c r="AH838">
        <v>5</v>
      </c>
      <c r="AI838">
        <v>6</v>
      </c>
      <c r="AJ838">
        <v>0</v>
      </c>
      <c r="AK838">
        <v>3</v>
      </c>
      <c r="AL838" t="s">
        <v>8366</v>
      </c>
      <c r="AM838" t="s">
        <v>115</v>
      </c>
      <c r="AN838" t="s">
        <v>8367</v>
      </c>
      <c r="AO838" t="s">
        <v>8368</v>
      </c>
      <c r="AP838" t="s">
        <v>74</v>
      </c>
      <c r="AQ838" t="s">
        <v>74</v>
      </c>
      <c r="AR838" t="s">
        <v>8369</v>
      </c>
      <c r="AS838" t="s">
        <v>8370</v>
      </c>
      <c r="AT838" t="s">
        <v>9891</v>
      </c>
      <c r="AU838">
        <v>1997</v>
      </c>
      <c r="AV838">
        <v>18</v>
      </c>
      <c r="AW838">
        <v>5</v>
      </c>
      <c r="AX838" t="s">
        <v>74</v>
      </c>
      <c r="AY838" t="s">
        <v>74</v>
      </c>
      <c r="AZ838" t="s">
        <v>74</v>
      </c>
      <c r="BA838" t="s">
        <v>74</v>
      </c>
      <c r="BB838">
        <v>277</v>
      </c>
      <c r="BC838">
        <v>282</v>
      </c>
      <c r="BD838" t="s">
        <v>74</v>
      </c>
      <c r="BE838" t="s">
        <v>74</v>
      </c>
      <c r="BF838" t="s">
        <v>74</v>
      </c>
      <c r="BG838" t="s">
        <v>74</v>
      </c>
      <c r="BH838" t="s">
        <v>74</v>
      </c>
      <c r="BI838">
        <v>6</v>
      </c>
      <c r="BJ838" t="s">
        <v>7419</v>
      </c>
      <c r="BK838" t="s">
        <v>98</v>
      </c>
      <c r="BL838" t="s">
        <v>7420</v>
      </c>
      <c r="BM838" t="s">
        <v>10118</v>
      </c>
      <c r="BN838" t="s">
        <v>74</v>
      </c>
      <c r="BO838" t="s">
        <v>74</v>
      </c>
      <c r="BP838" t="s">
        <v>74</v>
      </c>
      <c r="BQ838" t="s">
        <v>74</v>
      </c>
      <c r="BR838" t="s">
        <v>101</v>
      </c>
      <c r="BS838" t="s">
        <v>10119</v>
      </c>
      <c r="BT838" t="str">
        <f>HYPERLINK("https%3A%2F%2Fwww.webofscience.com%2Fwos%2Fwoscc%2Ffull-record%2FWOS:A1997YG48500004","View Full Record in Web of Science")</f>
        <v>View Full Record in Web of Science</v>
      </c>
    </row>
    <row r="839" spans="1:72" x14ac:dyDescent="0.15">
      <c r="A839" t="s">
        <v>72</v>
      </c>
      <c r="B839" t="s">
        <v>10120</v>
      </c>
      <c r="C839" t="s">
        <v>74</v>
      </c>
      <c r="D839" t="s">
        <v>74</v>
      </c>
      <c r="E839" t="s">
        <v>74</v>
      </c>
      <c r="F839" t="s">
        <v>10120</v>
      </c>
      <c r="G839" t="s">
        <v>74</v>
      </c>
      <c r="H839" t="s">
        <v>74</v>
      </c>
      <c r="I839" t="s">
        <v>10121</v>
      </c>
      <c r="J839" t="s">
        <v>10122</v>
      </c>
      <c r="K839" t="s">
        <v>74</v>
      </c>
      <c r="L839" t="s">
        <v>74</v>
      </c>
      <c r="M839" t="s">
        <v>4428</v>
      </c>
      <c r="N839" t="s">
        <v>78</v>
      </c>
      <c r="O839" t="s">
        <v>74</v>
      </c>
      <c r="P839" t="s">
        <v>74</v>
      </c>
      <c r="Q839" t="s">
        <v>74</v>
      </c>
      <c r="R839" t="s">
        <v>74</v>
      </c>
      <c r="S839" t="s">
        <v>74</v>
      </c>
      <c r="T839" t="s">
        <v>74</v>
      </c>
      <c r="U839" t="s">
        <v>74</v>
      </c>
      <c r="V839" t="s">
        <v>74</v>
      </c>
      <c r="W839" t="s">
        <v>74</v>
      </c>
      <c r="X839" t="s">
        <v>74</v>
      </c>
      <c r="Y839" t="s">
        <v>10123</v>
      </c>
      <c r="Z839" t="s">
        <v>74</v>
      </c>
      <c r="AA839" t="s">
        <v>10124</v>
      </c>
      <c r="AB839" t="s">
        <v>10125</v>
      </c>
      <c r="AC839" t="s">
        <v>74</v>
      </c>
      <c r="AD839" t="s">
        <v>74</v>
      </c>
      <c r="AE839" t="s">
        <v>74</v>
      </c>
      <c r="AF839" t="s">
        <v>74</v>
      </c>
      <c r="AG839">
        <v>12</v>
      </c>
      <c r="AH839">
        <v>5</v>
      </c>
      <c r="AI839">
        <v>8</v>
      </c>
      <c r="AJ839">
        <v>0</v>
      </c>
      <c r="AK839">
        <v>1</v>
      </c>
      <c r="AL839" t="s">
        <v>4431</v>
      </c>
      <c r="AM839" t="s">
        <v>4432</v>
      </c>
      <c r="AN839" t="s">
        <v>4433</v>
      </c>
      <c r="AO839" t="s">
        <v>10126</v>
      </c>
      <c r="AP839" t="s">
        <v>74</v>
      </c>
      <c r="AQ839" t="s">
        <v>74</v>
      </c>
      <c r="AR839" t="s">
        <v>10127</v>
      </c>
      <c r="AS839" t="s">
        <v>10128</v>
      </c>
      <c r="AT839" t="s">
        <v>9908</v>
      </c>
      <c r="AU839">
        <v>1997</v>
      </c>
      <c r="AV839">
        <v>356</v>
      </c>
      <c r="AW839">
        <v>3</v>
      </c>
      <c r="AX839" t="s">
        <v>74</v>
      </c>
      <c r="AY839" t="s">
        <v>74</v>
      </c>
      <c r="AZ839" t="s">
        <v>74</v>
      </c>
      <c r="BA839" t="s">
        <v>74</v>
      </c>
      <c r="BB839">
        <v>401</v>
      </c>
      <c r="BC839">
        <v>403</v>
      </c>
      <c r="BD839" t="s">
        <v>74</v>
      </c>
      <c r="BE839" t="s">
        <v>74</v>
      </c>
      <c r="BF839" t="s">
        <v>74</v>
      </c>
      <c r="BG839" t="s">
        <v>74</v>
      </c>
      <c r="BH839" t="s">
        <v>74</v>
      </c>
      <c r="BI839">
        <v>3</v>
      </c>
      <c r="BJ839" t="s">
        <v>186</v>
      </c>
      <c r="BK839" t="s">
        <v>98</v>
      </c>
      <c r="BL839" t="s">
        <v>187</v>
      </c>
      <c r="BM839" t="s">
        <v>10129</v>
      </c>
      <c r="BN839" t="s">
        <v>74</v>
      </c>
      <c r="BO839" t="s">
        <v>74</v>
      </c>
      <c r="BP839" t="s">
        <v>74</v>
      </c>
      <c r="BQ839" t="s">
        <v>74</v>
      </c>
      <c r="BR839" t="s">
        <v>101</v>
      </c>
      <c r="BS839" t="s">
        <v>10130</v>
      </c>
      <c r="BT839" t="str">
        <f>HYPERLINK("https%3A%2F%2Fwww.webofscience.com%2Fwos%2Fwoscc%2Ffull-record%2FWOS:A1997YE97800030","View Full Record in Web of Science")</f>
        <v>View Full Record in Web of Science</v>
      </c>
    </row>
    <row r="840" spans="1:72" x14ac:dyDescent="0.15">
      <c r="A840" t="s">
        <v>72</v>
      </c>
      <c r="B840" t="s">
        <v>10131</v>
      </c>
      <c r="C840" t="s">
        <v>74</v>
      </c>
      <c r="D840" t="s">
        <v>74</v>
      </c>
      <c r="E840" t="s">
        <v>74</v>
      </c>
      <c r="F840" t="s">
        <v>10131</v>
      </c>
      <c r="G840" t="s">
        <v>74</v>
      </c>
      <c r="H840" t="s">
        <v>74</v>
      </c>
      <c r="I840" t="s">
        <v>10132</v>
      </c>
      <c r="J840" t="s">
        <v>4427</v>
      </c>
      <c r="K840" t="s">
        <v>74</v>
      </c>
      <c r="L840" t="s">
        <v>74</v>
      </c>
      <c r="M840" t="s">
        <v>4428</v>
      </c>
      <c r="N840" t="s">
        <v>78</v>
      </c>
      <c r="O840" t="s">
        <v>74</v>
      </c>
      <c r="P840" t="s">
        <v>74</v>
      </c>
      <c r="Q840" t="s">
        <v>74</v>
      </c>
      <c r="R840" t="s">
        <v>74</v>
      </c>
      <c r="S840" t="s">
        <v>74</v>
      </c>
      <c r="T840" t="s">
        <v>74</v>
      </c>
      <c r="U840" t="s">
        <v>10133</v>
      </c>
      <c r="V840" t="s">
        <v>74</v>
      </c>
      <c r="W840" t="s">
        <v>74</v>
      </c>
      <c r="X840" t="s">
        <v>74</v>
      </c>
      <c r="Y840" t="s">
        <v>10134</v>
      </c>
      <c r="Z840" t="s">
        <v>74</v>
      </c>
      <c r="AA840" t="s">
        <v>74</v>
      </c>
      <c r="AB840" t="s">
        <v>74</v>
      </c>
      <c r="AC840" t="s">
        <v>74</v>
      </c>
      <c r="AD840" t="s">
        <v>74</v>
      </c>
      <c r="AE840" t="s">
        <v>74</v>
      </c>
      <c r="AF840" t="s">
        <v>74</v>
      </c>
      <c r="AG840">
        <v>9</v>
      </c>
      <c r="AH840">
        <v>7</v>
      </c>
      <c r="AI840">
        <v>7</v>
      </c>
      <c r="AJ840">
        <v>0</v>
      </c>
      <c r="AK840">
        <v>0</v>
      </c>
      <c r="AL840" t="s">
        <v>4431</v>
      </c>
      <c r="AM840" t="s">
        <v>4432</v>
      </c>
      <c r="AN840" t="s">
        <v>4433</v>
      </c>
      <c r="AO840" t="s">
        <v>4434</v>
      </c>
      <c r="AP840" t="s">
        <v>74</v>
      </c>
      <c r="AQ840" t="s">
        <v>74</v>
      </c>
      <c r="AR840" t="s">
        <v>4435</v>
      </c>
      <c r="AS840" t="s">
        <v>4436</v>
      </c>
      <c r="AT840" t="s">
        <v>9891</v>
      </c>
      <c r="AU840">
        <v>1997</v>
      </c>
      <c r="AV840">
        <v>37</v>
      </c>
      <c r="AW840">
        <v>5</v>
      </c>
      <c r="AX840" t="s">
        <v>74</v>
      </c>
      <c r="AY840" t="s">
        <v>74</v>
      </c>
      <c r="AZ840" t="s">
        <v>74</v>
      </c>
      <c r="BA840" t="s">
        <v>74</v>
      </c>
      <c r="BB840">
        <v>70</v>
      </c>
      <c r="BC840">
        <v>78</v>
      </c>
      <c r="BD840" t="s">
        <v>74</v>
      </c>
      <c r="BE840" t="s">
        <v>74</v>
      </c>
      <c r="BF840" t="s">
        <v>74</v>
      </c>
      <c r="BG840" t="s">
        <v>74</v>
      </c>
      <c r="BH840" t="s">
        <v>74</v>
      </c>
      <c r="BI840">
        <v>9</v>
      </c>
      <c r="BJ840" t="s">
        <v>143</v>
      </c>
      <c r="BK840" t="s">
        <v>98</v>
      </c>
      <c r="BL840" t="s">
        <v>143</v>
      </c>
      <c r="BM840" t="s">
        <v>10135</v>
      </c>
      <c r="BN840" t="s">
        <v>74</v>
      </c>
      <c r="BO840" t="s">
        <v>74</v>
      </c>
      <c r="BP840" t="s">
        <v>74</v>
      </c>
      <c r="BQ840" t="s">
        <v>74</v>
      </c>
      <c r="BR840" t="s">
        <v>101</v>
      </c>
      <c r="BS840" t="s">
        <v>10136</v>
      </c>
      <c r="BT840" t="str">
        <f>HYPERLINK("https%3A%2F%2Fwww.webofscience.com%2Fwos%2Fwoscc%2Ffull-record%2FWOS:A1997YB62500009","View Full Record in Web of Science")</f>
        <v>View Full Record in Web of Science</v>
      </c>
    </row>
    <row r="841" spans="1:72" x14ac:dyDescent="0.15">
      <c r="A841" t="s">
        <v>72</v>
      </c>
      <c r="B841" t="s">
        <v>10137</v>
      </c>
      <c r="C841" t="s">
        <v>74</v>
      </c>
      <c r="D841" t="s">
        <v>74</v>
      </c>
      <c r="E841" t="s">
        <v>74</v>
      </c>
      <c r="F841" t="s">
        <v>10137</v>
      </c>
      <c r="G841" t="s">
        <v>74</v>
      </c>
      <c r="H841" t="s">
        <v>74</v>
      </c>
      <c r="I841" t="s">
        <v>10138</v>
      </c>
      <c r="J841" t="s">
        <v>493</v>
      </c>
      <c r="K841" t="s">
        <v>74</v>
      </c>
      <c r="L841" t="s">
        <v>74</v>
      </c>
      <c r="M841" t="s">
        <v>77</v>
      </c>
      <c r="N841" t="s">
        <v>78</v>
      </c>
      <c r="O841" t="s">
        <v>74</v>
      </c>
      <c r="P841" t="s">
        <v>74</v>
      </c>
      <c r="Q841" t="s">
        <v>74</v>
      </c>
      <c r="R841" t="s">
        <v>74</v>
      </c>
      <c r="S841" t="s">
        <v>74</v>
      </c>
      <c r="T841" t="s">
        <v>74</v>
      </c>
      <c r="U841" t="s">
        <v>10139</v>
      </c>
      <c r="V841" t="s">
        <v>10140</v>
      </c>
      <c r="W841" t="s">
        <v>74</v>
      </c>
      <c r="X841" t="s">
        <v>74</v>
      </c>
      <c r="Y841" t="s">
        <v>10141</v>
      </c>
      <c r="Z841" t="s">
        <v>74</v>
      </c>
      <c r="AA841" t="s">
        <v>10142</v>
      </c>
      <c r="AB841" t="s">
        <v>10143</v>
      </c>
      <c r="AC841" t="s">
        <v>74</v>
      </c>
      <c r="AD841" t="s">
        <v>74</v>
      </c>
      <c r="AE841" t="s">
        <v>74</v>
      </c>
      <c r="AF841" t="s">
        <v>74</v>
      </c>
      <c r="AG841">
        <v>60</v>
      </c>
      <c r="AH841">
        <v>28</v>
      </c>
      <c r="AI841">
        <v>30</v>
      </c>
      <c r="AJ841">
        <v>1</v>
      </c>
      <c r="AK841">
        <v>3</v>
      </c>
      <c r="AL841" t="s">
        <v>87</v>
      </c>
      <c r="AM841" t="s">
        <v>88</v>
      </c>
      <c r="AN841" t="s">
        <v>7533</v>
      </c>
      <c r="AO841" t="s">
        <v>502</v>
      </c>
      <c r="AP841" t="s">
        <v>74</v>
      </c>
      <c r="AQ841" t="s">
        <v>74</v>
      </c>
      <c r="AR841" t="s">
        <v>503</v>
      </c>
      <c r="AS841" t="s">
        <v>504</v>
      </c>
      <c r="AT841" t="s">
        <v>9908</v>
      </c>
      <c r="AU841">
        <v>1997</v>
      </c>
      <c r="AV841">
        <v>11</v>
      </c>
      <c r="AW841">
        <v>3</v>
      </c>
      <c r="AX841" t="s">
        <v>74</v>
      </c>
      <c r="AY841" t="s">
        <v>74</v>
      </c>
      <c r="AZ841" t="s">
        <v>74</v>
      </c>
      <c r="BA841" t="s">
        <v>74</v>
      </c>
      <c r="BB841">
        <v>453</v>
      </c>
      <c r="BC841">
        <v>470</v>
      </c>
      <c r="BD841" t="s">
        <v>74</v>
      </c>
      <c r="BE841" t="s">
        <v>10144</v>
      </c>
      <c r="BF841" t="str">
        <f>HYPERLINK("http://dx.doi.org/10.1029/97GB01367","http://dx.doi.org/10.1029/97GB01367")</f>
        <v>http://dx.doi.org/10.1029/97GB01367</v>
      </c>
      <c r="BG841" t="s">
        <v>74</v>
      </c>
      <c r="BH841" t="s">
        <v>74</v>
      </c>
      <c r="BI841">
        <v>18</v>
      </c>
      <c r="BJ841" t="s">
        <v>506</v>
      </c>
      <c r="BK841" t="s">
        <v>98</v>
      </c>
      <c r="BL841" t="s">
        <v>507</v>
      </c>
      <c r="BM841" t="s">
        <v>10145</v>
      </c>
      <c r="BN841" t="s">
        <v>74</v>
      </c>
      <c r="BO841" t="s">
        <v>74</v>
      </c>
      <c r="BP841" t="s">
        <v>74</v>
      </c>
      <c r="BQ841" t="s">
        <v>74</v>
      </c>
      <c r="BR841" t="s">
        <v>101</v>
      </c>
      <c r="BS841" t="s">
        <v>10146</v>
      </c>
      <c r="BT841" t="str">
        <f>HYPERLINK("https%3A%2F%2Fwww.webofscience.com%2Fwos%2Fwoscc%2Ffull-record%2FWOS:A1997XT61900011","View Full Record in Web of Science")</f>
        <v>View Full Record in Web of Science</v>
      </c>
    </row>
    <row r="842" spans="1:72" x14ac:dyDescent="0.15">
      <c r="A842" t="s">
        <v>72</v>
      </c>
      <c r="B842" t="s">
        <v>10147</v>
      </c>
      <c r="C842" t="s">
        <v>74</v>
      </c>
      <c r="D842" t="s">
        <v>74</v>
      </c>
      <c r="E842" t="s">
        <v>74</v>
      </c>
      <c r="F842" t="s">
        <v>10147</v>
      </c>
      <c r="G842" t="s">
        <v>74</v>
      </c>
      <c r="H842" t="s">
        <v>74</v>
      </c>
      <c r="I842" t="s">
        <v>10148</v>
      </c>
      <c r="J842" t="s">
        <v>10149</v>
      </c>
      <c r="K842" t="s">
        <v>74</v>
      </c>
      <c r="L842" t="s">
        <v>74</v>
      </c>
      <c r="M842" t="s">
        <v>77</v>
      </c>
      <c r="N842" t="s">
        <v>78</v>
      </c>
      <c r="O842" t="s">
        <v>74</v>
      </c>
      <c r="P842" t="s">
        <v>74</v>
      </c>
      <c r="Q842" t="s">
        <v>74</v>
      </c>
      <c r="R842" t="s">
        <v>74</v>
      </c>
      <c r="S842" t="s">
        <v>74</v>
      </c>
      <c r="T842" t="s">
        <v>10150</v>
      </c>
      <c r="U842" t="s">
        <v>74</v>
      </c>
      <c r="V842" t="s">
        <v>10151</v>
      </c>
      <c r="W842" t="s">
        <v>10152</v>
      </c>
      <c r="X842" t="s">
        <v>672</v>
      </c>
      <c r="Y842" t="s">
        <v>10153</v>
      </c>
      <c r="Z842" t="s">
        <v>74</v>
      </c>
      <c r="AA842" t="s">
        <v>3015</v>
      </c>
      <c r="AB842" t="s">
        <v>3016</v>
      </c>
      <c r="AC842" t="s">
        <v>74</v>
      </c>
      <c r="AD842" t="s">
        <v>74</v>
      </c>
      <c r="AE842" t="s">
        <v>74</v>
      </c>
      <c r="AF842" t="s">
        <v>74</v>
      </c>
      <c r="AG842">
        <v>13</v>
      </c>
      <c r="AH842">
        <v>53</v>
      </c>
      <c r="AI842">
        <v>57</v>
      </c>
      <c r="AJ842">
        <v>0</v>
      </c>
      <c r="AK842">
        <v>9</v>
      </c>
      <c r="AL842" t="s">
        <v>10154</v>
      </c>
      <c r="AM842" t="s">
        <v>201</v>
      </c>
      <c r="AN842" t="s">
        <v>10155</v>
      </c>
      <c r="AO842" t="s">
        <v>10156</v>
      </c>
      <c r="AP842" t="s">
        <v>74</v>
      </c>
      <c r="AQ842" t="s">
        <v>74</v>
      </c>
      <c r="AR842" t="s">
        <v>10149</v>
      </c>
      <c r="AS842" t="s">
        <v>10157</v>
      </c>
      <c r="AT842" t="s">
        <v>9908</v>
      </c>
      <c r="AU842">
        <v>1997</v>
      </c>
      <c r="AV842">
        <v>7</v>
      </c>
      <c r="AW842">
        <v>3</v>
      </c>
      <c r="AX842" t="s">
        <v>74</v>
      </c>
      <c r="AY842" t="s">
        <v>74</v>
      </c>
      <c r="AZ842" t="s">
        <v>74</v>
      </c>
      <c r="BA842" t="s">
        <v>74</v>
      </c>
      <c r="BB842">
        <v>351</v>
      </c>
      <c r="BC842">
        <v>354</v>
      </c>
      <c r="BD842" t="s">
        <v>74</v>
      </c>
      <c r="BE842" t="s">
        <v>10158</v>
      </c>
      <c r="BF842" t="str">
        <f>HYPERLINK("http://dx.doi.org/10.1177/095968369700700312","http://dx.doi.org/10.1177/095968369700700312")</f>
        <v>http://dx.doi.org/10.1177/095968369700700312</v>
      </c>
      <c r="BG842" t="s">
        <v>74</v>
      </c>
      <c r="BH842" t="s">
        <v>74</v>
      </c>
      <c r="BI842">
        <v>4</v>
      </c>
      <c r="BJ842" t="s">
        <v>4239</v>
      </c>
      <c r="BK842" t="s">
        <v>98</v>
      </c>
      <c r="BL842" t="s">
        <v>4240</v>
      </c>
      <c r="BM842" t="s">
        <v>10159</v>
      </c>
      <c r="BN842" t="s">
        <v>74</v>
      </c>
      <c r="BO842" t="s">
        <v>74</v>
      </c>
      <c r="BP842" t="s">
        <v>74</v>
      </c>
      <c r="BQ842" t="s">
        <v>74</v>
      </c>
      <c r="BR842" t="s">
        <v>101</v>
      </c>
      <c r="BS842" t="s">
        <v>10160</v>
      </c>
      <c r="BT842" t="str">
        <f>HYPERLINK("https%3A%2F%2Fwww.webofscience.com%2Fwos%2Fwoscc%2Ffull-record%2FWOS:A1997YB59900012","View Full Record in Web of Science")</f>
        <v>View Full Record in Web of Science</v>
      </c>
    </row>
    <row r="843" spans="1:72" x14ac:dyDescent="0.15">
      <c r="A843" t="s">
        <v>72</v>
      </c>
      <c r="B843" t="s">
        <v>10161</v>
      </c>
      <c r="C843" t="s">
        <v>74</v>
      </c>
      <c r="D843" t="s">
        <v>74</v>
      </c>
      <c r="E843" t="s">
        <v>74</v>
      </c>
      <c r="F843" t="s">
        <v>10161</v>
      </c>
      <c r="G843" t="s">
        <v>74</v>
      </c>
      <c r="H843" t="s">
        <v>74</v>
      </c>
      <c r="I843" t="s">
        <v>10162</v>
      </c>
      <c r="J843" t="s">
        <v>513</v>
      </c>
      <c r="K843" t="s">
        <v>74</v>
      </c>
      <c r="L843" t="s">
        <v>74</v>
      </c>
      <c r="M843" t="s">
        <v>77</v>
      </c>
      <c r="N843" t="s">
        <v>78</v>
      </c>
      <c r="O843" t="s">
        <v>74</v>
      </c>
      <c r="P843" t="s">
        <v>74</v>
      </c>
      <c r="Q843" t="s">
        <v>74</v>
      </c>
      <c r="R843" t="s">
        <v>74</v>
      </c>
      <c r="S843" t="s">
        <v>74</v>
      </c>
      <c r="T843" t="s">
        <v>74</v>
      </c>
      <c r="U843" t="s">
        <v>10163</v>
      </c>
      <c r="V843" t="s">
        <v>10164</v>
      </c>
      <c r="W843" t="s">
        <v>74</v>
      </c>
      <c r="X843" t="s">
        <v>74</v>
      </c>
      <c r="Y843" t="s">
        <v>10165</v>
      </c>
      <c r="Z843" t="s">
        <v>74</v>
      </c>
      <c r="AA843" t="s">
        <v>10166</v>
      </c>
      <c r="AB843" t="s">
        <v>10167</v>
      </c>
      <c r="AC843" t="s">
        <v>74</v>
      </c>
      <c r="AD843" t="s">
        <v>74</v>
      </c>
      <c r="AE843" t="s">
        <v>74</v>
      </c>
      <c r="AF843" t="s">
        <v>74</v>
      </c>
      <c r="AG843">
        <v>22</v>
      </c>
      <c r="AH843">
        <v>26</v>
      </c>
      <c r="AI843">
        <v>27</v>
      </c>
      <c r="AJ843">
        <v>0</v>
      </c>
      <c r="AK843">
        <v>3</v>
      </c>
      <c r="AL843" t="s">
        <v>520</v>
      </c>
      <c r="AM843" t="s">
        <v>244</v>
      </c>
      <c r="AN843" t="s">
        <v>10168</v>
      </c>
      <c r="AO843" t="s">
        <v>522</v>
      </c>
      <c r="AP843" t="s">
        <v>74</v>
      </c>
      <c r="AQ843" t="s">
        <v>74</v>
      </c>
      <c r="AR843" t="s">
        <v>523</v>
      </c>
      <c r="AS843" t="s">
        <v>524</v>
      </c>
      <c r="AT843" t="s">
        <v>9908</v>
      </c>
      <c r="AU843">
        <v>1997</v>
      </c>
      <c r="AV843">
        <v>35</v>
      </c>
      <c r="AW843">
        <v>5</v>
      </c>
      <c r="AX843" t="s">
        <v>74</v>
      </c>
      <c r="AY843" t="s">
        <v>74</v>
      </c>
      <c r="AZ843" t="s">
        <v>74</v>
      </c>
      <c r="BA843" t="s">
        <v>74</v>
      </c>
      <c r="BB843">
        <v>1201</v>
      </c>
      <c r="BC843">
        <v>1209</v>
      </c>
      <c r="BD843" t="s">
        <v>74</v>
      </c>
      <c r="BE843" t="s">
        <v>10169</v>
      </c>
      <c r="BF843" t="str">
        <f>HYPERLINK("http://dx.doi.org/10.1109/36.628787","http://dx.doi.org/10.1109/36.628787")</f>
        <v>http://dx.doi.org/10.1109/36.628787</v>
      </c>
      <c r="BG843" t="s">
        <v>74</v>
      </c>
      <c r="BH843" t="s">
        <v>74</v>
      </c>
      <c r="BI843">
        <v>9</v>
      </c>
      <c r="BJ843" t="s">
        <v>526</v>
      </c>
      <c r="BK843" t="s">
        <v>98</v>
      </c>
      <c r="BL843" t="s">
        <v>527</v>
      </c>
      <c r="BM843" t="s">
        <v>10170</v>
      </c>
      <c r="BN843" t="s">
        <v>74</v>
      </c>
      <c r="BO843" t="s">
        <v>74</v>
      </c>
      <c r="BP843" t="s">
        <v>74</v>
      </c>
      <c r="BQ843" t="s">
        <v>74</v>
      </c>
      <c r="BR843" t="s">
        <v>101</v>
      </c>
      <c r="BS843" t="s">
        <v>10171</v>
      </c>
      <c r="BT843" t="str">
        <f>HYPERLINK("https%3A%2F%2Fwww.webofscience.com%2Fwos%2Fwoscc%2Ffull-record%2FWOS:A1997XW39000011","View Full Record in Web of Science")</f>
        <v>View Full Record in Web of Science</v>
      </c>
    </row>
    <row r="844" spans="1:72" x14ac:dyDescent="0.15">
      <c r="A844" t="s">
        <v>72</v>
      </c>
      <c r="B844" t="s">
        <v>10172</v>
      </c>
      <c r="C844" t="s">
        <v>74</v>
      </c>
      <c r="D844" t="s">
        <v>74</v>
      </c>
      <c r="E844" t="s">
        <v>74</v>
      </c>
      <c r="F844" t="s">
        <v>10172</v>
      </c>
      <c r="G844" t="s">
        <v>74</v>
      </c>
      <c r="H844" t="s">
        <v>74</v>
      </c>
      <c r="I844" t="s">
        <v>10173</v>
      </c>
      <c r="J844" t="s">
        <v>513</v>
      </c>
      <c r="K844" t="s">
        <v>74</v>
      </c>
      <c r="L844" t="s">
        <v>74</v>
      </c>
      <c r="M844" t="s">
        <v>77</v>
      </c>
      <c r="N844" t="s">
        <v>78</v>
      </c>
      <c r="O844" t="s">
        <v>74</v>
      </c>
      <c r="P844" t="s">
        <v>74</v>
      </c>
      <c r="Q844" t="s">
        <v>74</v>
      </c>
      <c r="R844" t="s">
        <v>74</v>
      </c>
      <c r="S844" t="s">
        <v>74</v>
      </c>
      <c r="T844" t="s">
        <v>10174</v>
      </c>
      <c r="U844" t="s">
        <v>74</v>
      </c>
      <c r="V844" t="s">
        <v>10175</v>
      </c>
      <c r="W844" t="s">
        <v>74</v>
      </c>
      <c r="X844" t="s">
        <v>74</v>
      </c>
      <c r="Y844" t="s">
        <v>10176</v>
      </c>
      <c r="Z844" t="s">
        <v>74</v>
      </c>
      <c r="AA844" t="s">
        <v>10177</v>
      </c>
      <c r="AB844" t="s">
        <v>10178</v>
      </c>
      <c r="AC844" t="s">
        <v>74</v>
      </c>
      <c r="AD844" t="s">
        <v>74</v>
      </c>
      <c r="AE844" t="s">
        <v>74</v>
      </c>
      <c r="AF844" t="s">
        <v>74</v>
      </c>
      <c r="AG844">
        <v>16</v>
      </c>
      <c r="AH844">
        <v>13</v>
      </c>
      <c r="AI844">
        <v>13</v>
      </c>
      <c r="AJ844">
        <v>0</v>
      </c>
      <c r="AK844">
        <v>5</v>
      </c>
      <c r="AL844" t="s">
        <v>520</v>
      </c>
      <c r="AM844" t="s">
        <v>244</v>
      </c>
      <c r="AN844" t="s">
        <v>10168</v>
      </c>
      <c r="AO844" t="s">
        <v>522</v>
      </c>
      <c r="AP844" t="s">
        <v>74</v>
      </c>
      <c r="AQ844" t="s">
        <v>74</v>
      </c>
      <c r="AR844" t="s">
        <v>523</v>
      </c>
      <c r="AS844" t="s">
        <v>524</v>
      </c>
      <c r="AT844" t="s">
        <v>9908</v>
      </c>
      <c r="AU844">
        <v>1997</v>
      </c>
      <c r="AV844">
        <v>35</v>
      </c>
      <c r="AW844">
        <v>5</v>
      </c>
      <c r="AX844" t="s">
        <v>74</v>
      </c>
      <c r="AY844" t="s">
        <v>74</v>
      </c>
      <c r="AZ844" t="s">
        <v>74</v>
      </c>
      <c r="BA844" t="s">
        <v>74</v>
      </c>
      <c r="BB844">
        <v>1338</v>
      </c>
      <c r="BC844">
        <v>1349</v>
      </c>
      <c r="BD844" t="s">
        <v>74</v>
      </c>
      <c r="BE844" t="s">
        <v>10179</v>
      </c>
      <c r="BF844" t="str">
        <f>HYPERLINK("http://dx.doi.org/10.1109/36.628799","http://dx.doi.org/10.1109/36.628799")</f>
        <v>http://dx.doi.org/10.1109/36.628799</v>
      </c>
      <c r="BG844" t="s">
        <v>74</v>
      </c>
      <c r="BH844" t="s">
        <v>74</v>
      </c>
      <c r="BI844">
        <v>12</v>
      </c>
      <c r="BJ844" t="s">
        <v>526</v>
      </c>
      <c r="BK844" t="s">
        <v>98</v>
      </c>
      <c r="BL844" t="s">
        <v>527</v>
      </c>
      <c r="BM844" t="s">
        <v>10170</v>
      </c>
      <c r="BN844" t="s">
        <v>74</v>
      </c>
      <c r="BO844" t="s">
        <v>74</v>
      </c>
      <c r="BP844" t="s">
        <v>74</v>
      </c>
      <c r="BQ844" t="s">
        <v>74</v>
      </c>
      <c r="BR844" t="s">
        <v>101</v>
      </c>
      <c r="BS844" t="s">
        <v>10180</v>
      </c>
      <c r="BT844" t="str">
        <f>HYPERLINK("https%3A%2F%2Fwww.webofscience.com%2Fwos%2Fwoscc%2Ffull-record%2FWOS:A1997XW39000023","View Full Record in Web of Science")</f>
        <v>View Full Record in Web of Science</v>
      </c>
    </row>
    <row r="845" spans="1:72" x14ac:dyDescent="0.15">
      <c r="A845" t="s">
        <v>72</v>
      </c>
      <c r="B845" t="s">
        <v>10181</v>
      </c>
      <c r="C845" t="s">
        <v>74</v>
      </c>
      <c r="D845" t="s">
        <v>74</v>
      </c>
      <c r="E845" t="s">
        <v>74</v>
      </c>
      <c r="F845" t="s">
        <v>10181</v>
      </c>
      <c r="G845" t="s">
        <v>74</v>
      </c>
      <c r="H845" t="s">
        <v>74</v>
      </c>
      <c r="I845" t="s">
        <v>10182</v>
      </c>
      <c r="J845" t="s">
        <v>10183</v>
      </c>
      <c r="K845" t="s">
        <v>74</v>
      </c>
      <c r="L845" t="s">
        <v>74</v>
      </c>
      <c r="M845" t="s">
        <v>77</v>
      </c>
      <c r="N845" t="s">
        <v>379</v>
      </c>
      <c r="O845" t="s">
        <v>10184</v>
      </c>
      <c r="P845" t="s">
        <v>10185</v>
      </c>
      <c r="Q845" t="s">
        <v>2625</v>
      </c>
      <c r="R845" t="s">
        <v>74</v>
      </c>
      <c r="S845" t="s">
        <v>74</v>
      </c>
      <c r="T845" t="s">
        <v>10186</v>
      </c>
      <c r="U845" t="s">
        <v>10187</v>
      </c>
      <c r="V845" t="s">
        <v>10188</v>
      </c>
      <c r="W845" t="s">
        <v>10189</v>
      </c>
      <c r="X845" t="s">
        <v>10190</v>
      </c>
      <c r="Y845" t="s">
        <v>10191</v>
      </c>
      <c r="Z845" t="s">
        <v>74</v>
      </c>
      <c r="AA845" t="s">
        <v>10192</v>
      </c>
      <c r="AB845" t="s">
        <v>10193</v>
      </c>
      <c r="AC845" t="s">
        <v>74</v>
      </c>
      <c r="AD845" t="s">
        <v>74</v>
      </c>
      <c r="AE845" t="s">
        <v>74</v>
      </c>
      <c r="AF845" t="s">
        <v>74</v>
      </c>
      <c r="AG845">
        <v>46</v>
      </c>
      <c r="AH845">
        <v>65</v>
      </c>
      <c r="AI845">
        <v>68</v>
      </c>
      <c r="AJ845">
        <v>0</v>
      </c>
      <c r="AK845">
        <v>17</v>
      </c>
      <c r="AL845" t="s">
        <v>2697</v>
      </c>
      <c r="AM845" t="s">
        <v>115</v>
      </c>
      <c r="AN845" t="s">
        <v>10194</v>
      </c>
      <c r="AO845" t="s">
        <v>10195</v>
      </c>
      <c r="AP845" t="s">
        <v>74</v>
      </c>
      <c r="AQ845" t="s">
        <v>74</v>
      </c>
      <c r="AR845" t="s">
        <v>10196</v>
      </c>
      <c r="AS845" t="s">
        <v>10197</v>
      </c>
      <c r="AT845" t="s">
        <v>9908</v>
      </c>
      <c r="AU845">
        <v>1997</v>
      </c>
      <c r="AV845">
        <v>12</v>
      </c>
      <c r="AW845">
        <v>9</v>
      </c>
      <c r="AX845" t="s">
        <v>74</v>
      </c>
      <c r="AY845" t="s">
        <v>74</v>
      </c>
      <c r="AZ845" t="s">
        <v>74</v>
      </c>
      <c r="BA845" t="s">
        <v>74</v>
      </c>
      <c r="BB845">
        <v>925</v>
      </c>
      <c r="BC845">
        <v>931</v>
      </c>
      <c r="BD845" t="s">
        <v>74</v>
      </c>
      <c r="BE845" t="s">
        <v>10198</v>
      </c>
      <c r="BF845" t="str">
        <f>HYPERLINK("http://dx.doi.org/10.1039/a701686g","http://dx.doi.org/10.1039/a701686g")</f>
        <v>http://dx.doi.org/10.1039/a701686g</v>
      </c>
      <c r="BG845" t="s">
        <v>74</v>
      </c>
      <c r="BH845" t="s">
        <v>74</v>
      </c>
      <c r="BI845">
        <v>7</v>
      </c>
      <c r="BJ845" t="s">
        <v>10199</v>
      </c>
      <c r="BK845" t="s">
        <v>3943</v>
      </c>
      <c r="BL845" t="s">
        <v>10200</v>
      </c>
      <c r="BM845" t="s">
        <v>10201</v>
      </c>
      <c r="BN845" t="s">
        <v>74</v>
      </c>
      <c r="BO845" t="s">
        <v>74</v>
      </c>
      <c r="BP845" t="s">
        <v>74</v>
      </c>
      <c r="BQ845" t="s">
        <v>74</v>
      </c>
      <c r="BR845" t="s">
        <v>101</v>
      </c>
      <c r="BS845" t="s">
        <v>10202</v>
      </c>
      <c r="BT845" t="str">
        <f>HYPERLINK("https%3A%2F%2Fwww.webofscience.com%2Fwos%2Fwoscc%2Ffull-record%2FWOS:A1997XW80300010","View Full Record in Web of Science")</f>
        <v>View Full Record in Web of Science</v>
      </c>
    </row>
    <row r="846" spans="1:72" x14ac:dyDescent="0.15">
      <c r="A846" t="s">
        <v>72</v>
      </c>
      <c r="B846" t="s">
        <v>10203</v>
      </c>
      <c r="C846" t="s">
        <v>74</v>
      </c>
      <c r="D846" t="s">
        <v>74</v>
      </c>
      <c r="E846" t="s">
        <v>74</v>
      </c>
      <c r="F846" t="s">
        <v>10203</v>
      </c>
      <c r="G846" t="s">
        <v>74</v>
      </c>
      <c r="H846" t="s">
        <v>74</v>
      </c>
      <c r="I846" t="s">
        <v>10204</v>
      </c>
      <c r="J846" t="s">
        <v>602</v>
      </c>
      <c r="K846" t="s">
        <v>74</v>
      </c>
      <c r="L846" t="s">
        <v>74</v>
      </c>
      <c r="M846" t="s">
        <v>77</v>
      </c>
      <c r="N846" t="s">
        <v>10205</v>
      </c>
      <c r="O846" t="s">
        <v>74</v>
      </c>
      <c r="P846" t="s">
        <v>74</v>
      </c>
      <c r="Q846" t="s">
        <v>74</v>
      </c>
      <c r="R846" t="s">
        <v>74</v>
      </c>
      <c r="S846" t="s">
        <v>74</v>
      </c>
      <c r="T846" t="s">
        <v>74</v>
      </c>
      <c r="U846" t="s">
        <v>74</v>
      </c>
      <c r="V846" t="s">
        <v>74</v>
      </c>
      <c r="W846" t="s">
        <v>74</v>
      </c>
      <c r="X846" t="s">
        <v>74</v>
      </c>
      <c r="Y846" t="s">
        <v>74</v>
      </c>
      <c r="Z846" t="s">
        <v>74</v>
      </c>
      <c r="AA846" t="s">
        <v>74</v>
      </c>
      <c r="AB846" t="s">
        <v>74</v>
      </c>
      <c r="AC846" t="s">
        <v>74</v>
      </c>
      <c r="AD846" t="s">
        <v>74</v>
      </c>
      <c r="AE846" t="s">
        <v>74</v>
      </c>
      <c r="AF846" t="s">
        <v>74</v>
      </c>
      <c r="AG846">
        <v>1</v>
      </c>
      <c r="AH846">
        <v>0</v>
      </c>
      <c r="AI846">
        <v>0</v>
      </c>
      <c r="AJ846">
        <v>0</v>
      </c>
      <c r="AK846">
        <v>1</v>
      </c>
      <c r="AL846" t="s">
        <v>451</v>
      </c>
      <c r="AM846" t="s">
        <v>214</v>
      </c>
      <c r="AN846" t="s">
        <v>7151</v>
      </c>
      <c r="AO846" t="s">
        <v>610</v>
      </c>
      <c r="AP846" t="s">
        <v>74</v>
      </c>
      <c r="AQ846" t="s">
        <v>74</v>
      </c>
      <c r="AR846" t="s">
        <v>611</v>
      </c>
      <c r="AS846" t="s">
        <v>612</v>
      </c>
      <c r="AT846" t="s">
        <v>9908</v>
      </c>
      <c r="AU846">
        <v>1997</v>
      </c>
      <c r="AV846">
        <v>59</v>
      </c>
      <c r="AW846">
        <v>14</v>
      </c>
      <c r="AX846" t="s">
        <v>74</v>
      </c>
      <c r="AY846" t="s">
        <v>74</v>
      </c>
      <c r="AZ846" t="s">
        <v>74</v>
      </c>
      <c r="BA846" t="s">
        <v>74</v>
      </c>
      <c r="BB846" t="s">
        <v>10206</v>
      </c>
      <c r="BC846" t="s">
        <v>10206</v>
      </c>
      <c r="BD846" t="s">
        <v>74</v>
      </c>
      <c r="BE846" t="s">
        <v>74</v>
      </c>
      <c r="BF846" t="s">
        <v>74</v>
      </c>
      <c r="BG846" t="s">
        <v>74</v>
      </c>
      <c r="BH846" t="s">
        <v>74</v>
      </c>
      <c r="BI846">
        <v>1</v>
      </c>
      <c r="BJ846" t="s">
        <v>614</v>
      </c>
      <c r="BK846" t="s">
        <v>98</v>
      </c>
      <c r="BL846" t="s">
        <v>614</v>
      </c>
      <c r="BM846" t="s">
        <v>10207</v>
      </c>
      <c r="BN846" t="s">
        <v>74</v>
      </c>
      <c r="BO846" t="s">
        <v>74</v>
      </c>
      <c r="BP846" t="s">
        <v>74</v>
      </c>
      <c r="BQ846" t="s">
        <v>74</v>
      </c>
      <c r="BR846" t="s">
        <v>101</v>
      </c>
      <c r="BS846" t="s">
        <v>10208</v>
      </c>
      <c r="BT846" t="str">
        <f>HYPERLINK("https%3A%2F%2Fwww.webofscience.com%2Fwos%2Fwoscc%2Ffull-record%2FWOS:A1997XP87300016","View Full Record in Web of Science")</f>
        <v>View Full Record in Web of Science</v>
      </c>
    </row>
    <row r="847" spans="1:72" x14ac:dyDescent="0.15">
      <c r="A847" t="s">
        <v>72</v>
      </c>
      <c r="B847" t="s">
        <v>10209</v>
      </c>
      <c r="C847" t="s">
        <v>74</v>
      </c>
      <c r="D847" t="s">
        <v>74</v>
      </c>
      <c r="E847" t="s">
        <v>74</v>
      </c>
      <c r="F847" t="s">
        <v>10209</v>
      </c>
      <c r="G847" t="s">
        <v>74</v>
      </c>
      <c r="H847" t="s">
        <v>74</v>
      </c>
      <c r="I847" t="s">
        <v>10210</v>
      </c>
      <c r="J847" t="s">
        <v>10211</v>
      </c>
      <c r="K847" t="s">
        <v>74</v>
      </c>
      <c r="L847" t="s">
        <v>74</v>
      </c>
      <c r="M847" t="s">
        <v>77</v>
      </c>
      <c r="N847" t="s">
        <v>78</v>
      </c>
      <c r="O847" t="s">
        <v>74</v>
      </c>
      <c r="P847" t="s">
        <v>74</v>
      </c>
      <c r="Q847" t="s">
        <v>74</v>
      </c>
      <c r="R847" t="s">
        <v>74</v>
      </c>
      <c r="S847" t="s">
        <v>74</v>
      </c>
      <c r="T847" t="s">
        <v>74</v>
      </c>
      <c r="U847" t="s">
        <v>10212</v>
      </c>
      <c r="V847" t="s">
        <v>10213</v>
      </c>
      <c r="W847" t="s">
        <v>8347</v>
      </c>
      <c r="X847" t="s">
        <v>8348</v>
      </c>
      <c r="Y847" t="s">
        <v>10214</v>
      </c>
      <c r="Z847" t="s">
        <v>74</v>
      </c>
      <c r="AA847" t="s">
        <v>74</v>
      </c>
      <c r="AB847" t="s">
        <v>8350</v>
      </c>
      <c r="AC847" t="s">
        <v>74</v>
      </c>
      <c r="AD847" t="s">
        <v>74</v>
      </c>
      <c r="AE847" t="s">
        <v>74</v>
      </c>
      <c r="AF847" t="s">
        <v>74</v>
      </c>
      <c r="AG847">
        <v>17</v>
      </c>
      <c r="AH847">
        <v>52</v>
      </c>
      <c r="AI847">
        <v>55</v>
      </c>
      <c r="AJ847">
        <v>1</v>
      </c>
      <c r="AK847">
        <v>17</v>
      </c>
      <c r="AL847" t="s">
        <v>877</v>
      </c>
      <c r="AM847" t="s">
        <v>826</v>
      </c>
      <c r="AN847" t="s">
        <v>827</v>
      </c>
      <c r="AO847" t="s">
        <v>10215</v>
      </c>
      <c r="AP847" t="s">
        <v>10216</v>
      </c>
      <c r="AQ847" t="s">
        <v>74</v>
      </c>
      <c r="AR847" t="s">
        <v>10217</v>
      </c>
      <c r="AS847" t="s">
        <v>10218</v>
      </c>
      <c r="AT847" t="s">
        <v>9908</v>
      </c>
      <c r="AU847">
        <v>1997</v>
      </c>
      <c r="AV847">
        <v>28</v>
      </c>
      <c r="AW847">
        <v>3</v>
      </c>
      <c r="AX847" t="s">
        <v>74</v>
      </c>
      <c r="AY847" t="s">
        <v>74</v>
      </c>
      <c r="AZ847" t="s">
        <v>74</v>
      </c>
      <c r="BA847" t="s">
        <v>74</v>
      </c>
      <c r="BB847">
        <v>264</v>
      </c>
      <c r="BC847">
        <v>267</v>
      </c>
      <c r="BD847" t="s">
        <v>74</v>
      </c>
      <c r="BE847" t="s">
        <v>10219</v>
      </c>
      <c r="BF847" t="str">
        <f>HYPERLINK("http://dx.doi.org/10.2307/3676979","http://dx.doi.org/10.2307/3676979")</f>
        <v>http://dx.doi.org/10.2307/3676979</v>
      </c>
      <c r="BG847" t="s">
        <v>74</v>
      </c>
      <c r="BH847" t="s">
        <v>74</v>
      </c>
      <c r="BI847">
        <v>4</v>
      </c>
      <c r="BJ847" t="s">
        <v>439</v>
      </c>
      <c r="BK847" t="s">
        <v>98</v>
      </c>
      <c r="BL847" t="s">
        <v>417</v>
      </c>
      <c r="BM847" t="s">
        <v>10220</v>
      </c>
      <c r="BN847" t="s">
        <v>74</v>
      </c>
      <c r="BO847" t="s">
        <v>74</v>
      </c>
      <c r="BP847" t="s">
        <v>74</v>
      </c>
      <c r="BQ847" t="s">
        <v>74</v>
      </c>
      <c r="BR847" t="s">
        <v>101</v>
      </c>
      <c r="BS847" t="s">
        <v>10221</v>
      </c>
      <c r="BT847" t="str">
        <f>HYPERLINK("https%3A%2F%2Fwww.webofscience.com%2Fwos%2Fwoscc%2Ffull-record%2FWOS:A1997XX48100011","View Full Record in Web of Science")</f>
        <v>View Full Record in Web of Science</v>
      </c>
    </row>
    <row r="848" spans="1:72" x14ac:dyDescent="0.15">
      <c r="A848" t="s">
        <v>72</v>
      </c>
      <c r="B848" t="s">
        <v>10222</v>
      </c>
      <c r="C848" t="s">
        <v>74</v>
      </c>
      <c r="D848" t="s">
        <v>74</v>
      </c>
      <c r="E848" t="s">
        <v>74</v>
      </c>
      <c r="F848" t="s">
        <v>10222</v>
      </c>
      <c r="G848" t="s">
        <v>74</v>
      </c>
      <c r="H848" t="s">
        <v>74</v>
      </c>
      <c r="I848" t="s">
        <v>10223</v>
      </c>
      <c r="J848" t="s">
        <v>10224</v>
      </c>
      <c r="K848" t="s">
        <v>74</v>
      </c>
      <c r="L848" t="s">
        <v>74</v>
      </c>
      <c r="M848" t="s">
        <v>77</v>
      </c>
      <c r="N848" t="s">
        <v>78</v>
      </c>
      <c r="O848" t="s">
        <v>74</v>
      </c>
      <c r="P848" t="s">
        <v>74</v>
      </c>
      <c r="Q848" t="s">
        <v>74</v>
      </c>
      <c r="R848" t="s">
        <v>74</v>
      </c>
      <c r="S848" t="s">
        <v>74</v>
      </c>
      <c r="T848" t="s">
        <v>10225</v>
      </c>
      <c r="U848" t="s">
        <v>10226</v>
      </c>
      <c r="V848" t="s">
        <v>10227</v>
      </c>
      <c r="W848" t="s">
        <v>74</v>
      </c>
      <c r="X848" t="s">
        <v>74</v>
      </c>
      <c r="Y848" t="s">
        <v>10228</v>
      </c>
      <c r="Z848" t="s">
        <v>74</v>
      </c>
      <c r="AA848" t="s">
        <v>74</v>
      </c>
      <c r="AB848" t="s">
        <v>74</v>
      </c>
      <c r="AC848" t="s">
        <v>74</v>
      </c>
      <c r="AD848" t="s">
        <v>74</v>
      </c>
      <c r="AE848" t="s">
        <v>74</v>
      </c>
      <c r="AF848" t="s">
        <v>74</v>
      </c>
      <c r="AG848">
        <v>17</v>
      </c>
      <c r="AH848">
        <v>13</v>
      </c>
      <c r="AI848">
        <v>13</v>
      </c>
      <c r="AJ848">
        <v>0</v>
      </c>
      <c r="AK848">
        <v>4</v>
      </c>
      <c r="AL848" t="s">
        <v>10229</v>
      </c>
      <c r="AM848" t="s">
        <v>590</v>
      </c>
      <c r="AN848" t="s">
        <v>10230</v>
      </c>
      <c r="AO848" t="s">
        <v>10231</v>
      </c>
      <c r="AP848" t="s">
        <v>74</v>
      </c>
      <c r="AQ848" t="s">
        <v>74</v>
      </c>
      <c r="AR848" t="s">
        <v>10232</v>
      </c>
      <c r="AS848" t="s">
        <v>10233</v>
      </c>
      <c r="AT848" t="s">
        <v>9891</v>
      </c>
      <c r="AU848">
        <v>1997</v>
      </c>
      <c r="AV848">
        <v>44</v>
      </c>
      <c r="AW848">
        <v>5</v>
      </c>
      <c r="AX848" t="s">
        <v>74</v>
      </c>
      <c r="AY848" t="s">
        <v>74</v>
      </c>
      <c r="AZ848" t="s">
        <v>74</v>
      </c>
      <c r="BA848" t="s">
        <v>74</v>
      </c>
      <c r="BB848">
        <v>438</v>
      </c>
      <c r="BC848">
        <v>446</v>
      </c>
      <c r="BD848" t="s">
        <v>74</v>
      </c>
      <c r="BE848" t="s">
        <v>10234</v>
      </c>
      <c r="BF848" t="str">
        <f>HYPERLINK("http://dx.doi.org/10.1111/j.1550-7408.1997.tb05721.x","http://dx.doi.org/10.1111/j.1550-7408.1997.tb05721.x")</f>
        <v>http://dx.doi.org/10.1111/j.1550-7408.1997.tb05721.x</v>
      </c>
      <c r="BG848" t="s">
        <v>74</v>
      </c>
      <c r="BH848" t="s">
        <v>74</v>
      </c>
      <c r="BI848">
        <v>9</v>
      </c>
      <c r="BJ848" t="s">
        <v>1223</v>
      </c>
      <c r="BK848" t="s">
        <v>98</v>
      </c>
      <c r="BL848" t="s">
        <v>1223</v>
      </c>
      <c r="BM848" t="s">
        <v>10235</v>
      </c>
      <c r="BN848" t="s">
        <v>74</v>
      </c>
      <c r="BO848" t="s">
        <v>74</v>
      </c>
      <c r="BP848" t="s">
        <v>74</v>
      </c>
      <c r="BQ848" t="s">
        <v>74</v>
      </c>
      <c r="BR848" t="s">
        <v>101</v>
      </c>
      <c r="BS848" t="s">
        <v>10236</v>
      </c>
      <c r="BT848" t="str">
        <f>HYPERLINK("https%3A%2F%2Fwww.webofscience.com%2Fwos%2Fwoscc%2Ffull-record%2FWOS:A1997XW32800010","View Full Record in Web of Science")</f>
        <v>View Full Record in Web of Science</v>
      </c>
    </row>
    <row r="849" spans="1:72" x14ac:dyDescent="0.15">
      <c r="A849" t="s">
        <v>72</v>
      </c>
      <c r="B849" t="s">
        <v>10237</v>
      </c>
      <c r="C849" t="s">
        <v>74</v>
      </c>
      <c r="D849" t="s">
        <v>74</v>
      </c>
      <c r="E849" t="s">
        <v>74</v>
      </c>
      <c r="F849" t="s">
        <v>10237</v>
      </c>
      <c r="G849" t="s">
        <v>74</v>
      </c>
      <c r="H849" t="s">
        <v>74</v>
      </c>
      <c r="I849" t="s">
        <v>10238</v>
      </c>
      <c r="J849" t="s">
        <v>8519</v>
      </c>
      <c r="K849" t="s">
        <v>74</v>
      </c>
      <c r="L849" t="s">
        <v>74</v>
      </c>
      <c r="M849" t="s">
        <v>77</v>
      </c>
      <c r="N849" t="s">
        <v>78</v>
      </c>
      <c r="O849" t="s">
        <v>74</v>
      </c>
      <c r="P849" t="s">
        <v>74</v>
      </c>
      <c r="Q849" t="s">
        <v>74</v>
      </c>
      <c r="R849" t="s">
        <v>74</v>
      </c>
      <c r="S849" t="s">
        <v>74</v>
      </c>
      <c r="T849" t="s">
        <v>74</v>
      </c>
      <c r="U849" t="s">
        <v>10239</v>
      </c>
      <c r="V849" t="s">
        <v>10240</v>
      </c>
      <c r="W849" t="s">
        <v>10241</v>
      </c>
      <c r="X849" t="s">
        <v>3239</v>
      </c>
      <c r="Y849" t="s">
        <v>10242</v>
      </c>
      <c r="Z849" t="s">
        <v>74</v>
      </c>
      <c r="AA849" t="s">
        <v>10243</v>
      </c>
      <c r="AB849" t="s">
        <v>74</v>
      </c>
      <c r="AC849" t="s">
        <v>74</v>
      </c>
      <c r="AD849" t="s">
        <v>74</v>
      </c>
      <c r="AE849" t="s">
        <v>74</v>
      </c>
      <c r="AF849" t="s">
        <v>74</v>
      </c>
      <c r="AG849">
        <v>74</v>
      </c>
      <c r="AH849">
        <v>65</v>
      </c>
      <c r="AI849">
        <v>70</v>
      </c>
      <c r="AJ849">
        <v>0</v>
      </c>
      <c r="AK849">
        <v>12</v>
      </c>
      <c r="AL849" t="s">
        <v>10244</v>
      </c>
      <c r="AM849" t="s">
        <v>8526</v>
      </c>
      <c r="AN849" t="s">
        <v>10245</v>
      </c>
      <c r="AO849" t="s">
        <v>8528</v>
      </c>
      <c r="AP849" t="s">
        <v>74</v>
      </c>
      <c r="AQ849" t="s">
        <v>74</v>
      </c>
      <c r="AR849" t="s">
        <v>8529</v>
      </c>
      <c r="AS849" t="s">
        <v>8530</v>
      </c>
      <c r="AT849" t="s">
        <v>9908</v>
      </c>
      <c r="AU849">
        <v>1997</v>
      </c>
      <c r="AV849">
        <v>55</v>
      </c>
      <c r="AW849">
        <v>5</v>
      </c>
      <c r="AX849" t="s">
        <v>74</v>
      </c>
      <c r="AY849" t="s">
        <v>74</v>
      </c>
      <c r="AZ849" t="s">
        <v>74</v>
      </c>
      <c r="BA849" t="s">
        <v>74</v>
      </c>
      <c r="BB849">
        <v>995</v>
      </c>
      <c r="BC849">
        <v>1028</v>
      </c>
      <c r="BD849" t="s">
        <v>74</v>
      </c>
      <c r="BE849" t="s">
        <v>10246</v>
      </c>
      <c r="BF849" t="str">
        <f>HYPERLINK("http://dx.doi.org/10.1357/0022240973224139","http://dx.doi.org/10.1357/0022240973224139")</f>
        <v>http://dx.doi.org/10.1357/0022240973224139</v>
      </c>
      <c r="BG849" t="s">
        <v>74</v>
      </c>
      <c r="BH849" t="s">
        <v>74</v>
      </c>
      <c r="BI849">
        <v>34</v>
      </c>
      <c r="BJ849" t="s">
        <v>97</v>
      </c>
      <c r="BK849" t="s">
        <v>98</v>
      </c>
      <c r="BL849" t="s">
        <v>97</v>
      </c>
      <c r="BM849" t="s">
        <v>10247</v>
      </c>
      <c r="BN849" t="s">
        <v>74</v>
      </c>
      <c r="BO849" t="s">
        <v>74</v>
      </c>
      <c r="BP849" t="s">
        <v>74</v>
      </c>
      <c r="BQ849" t="s">
        <v>74</v>
      </c>
      <c r="BR849" t="s">
        <v>101</v>
      </c>
      <c r="BS849" t="s">
        <v>10248</v>
      </c>
      <c r="BT849" t="str">
        <f>HYPERLINK("https%3A%2F%2Fwww.webofscience.com%2Fwos%2Fwoscc%2Ffull-record%2FWOS:A1997YH09700008","View Full Record in Web of Science")</f>
        <v>View Full Record in Web of Science</v>
      </c>
    </row>
    <row r="850" spans="1:72" x14ac:dyDescent="0.15">
      <c r="A850" t="s">
        <v>72</v>
      </c>
      <c r="B850" t="s">
        <v>10249</v>
      </c>
      <c r="C850" t="s">
        <v>74</v>
      </c>
      <c r="D850" t="s">
        <v>74</v>
      </c>
      <c r="E850" t="s">
        <v>74</v>
      </c>
      <c r="F850" t="s">
        <v>10249</v>
      </c>
      <c r="G850" t="s">
        <v>74</v>
      </c>
      <c r="H850" t="s">
        <v>74</v>
      </c>
      <c r="I850" t="s">
        <v>10250</v>
      </c>
      <c r="J850" t="s">
        <v>10251</v>
      </c>
      <c r="K850" t="s">
        <v>74</v>
      </c>
      <c r="L850" t="s">
        <v>74</v>
      </c>
      <c r="M850" t="s">
        <v>77</v>
      </c>
      <c r="N850" t="s">
        <v>78</v>
      </c>
      <c r="O850" t="s">
        <v>74</v>
      </c>
      <c r="P850" t="s">
        <v>74</v>
      </c>
      <c r="Q850" t="s">
        <v>74</v>
      </c>
      <c r="R850" t="s">
        <v>74</v>
      </c>
      <c r="S850" t="s">
        <v>74</v>
      </c>
      <c r="T850" t="s">
        <v>10252</v>
      </c>
      <c r="U850" t="s">
        <v>10253</v>
      </c>
      <c r="V850" t="s">
        <v>10254</v>
      </c>
      <c r="W850" t="s">
        <v>10255</v>
      </c>
      <c r="X850" t="s">
        <v>322</v>
      </c>
      <c r="Y850" t="s">
        <v>10256</v>
      </c>
      <c r="Z850" t="s">
        <v>74</v>
      </c>
      <c r="AA850" t="s">
        <v>10257</v>
      </c>
      <c r="AB850" t="s">
        <v>10258</v>
      </c>
      <c r="AC850" t="s">
        <v>74</v>
      </c>
      <c r="AD850" t="s">
        <v>74</v>
      </c>
      <c r="AE850" t="s">
        <v>74</v>
      </c>
      <c r="AF850" t="s">
        <v>74</v>
      </c>
      <c r="AG850">
        <v>79</v>
      </c>
      <c r="AH850">
        <v>82</v>
      </c>
      <c r="AI850">
        <v>94</v>
      </c>
      <c r="AJ850">
        <v>0</v>
      </c>
      <c r="AK850">
        <v>9</v>
      </c>
      <c r="AL850" t="s">
        <v>1692</v>
      </c>
      <c r="AM850" t="s">
        <v>214</v>
      </c>
      <c r="AN850" t="s">
        <v>10259</v>
      </c>
      <c r="AO850" t="s">
        <v>10260</v>
      </c>
      <c r="AP850" t="s">
        <v>74</v>
      </c>
      <c r="AQ850" t="s">
        <v>74</v>
      </c>
      <c r="AR850" t="s">
        <v>10261</v>
      </c>
      <c r="AS850" t="s">
        <v>10262</v>
      </c>
      <c r="AT850" t="s">
        <v>9908</v>
      </c>
      <c r="AU850">
        <v>1997</v>
      </c>
      <c r="AV850">
        <v>38</v>
      </c>
      <c r="AW850">
        <v>9</v>
      </c>
      <c r="AX850" t="s">
        <v>74</v>
      </c>
      <c r="AY850" t="s">
        <v>74</v>
      </c>
      <c r="AZ850" t="s">
        <v>74</v>
      </c>
      <c r="BA850" t="s">
        <v>74</v>
      </c>
      <c r="BB850">
        <v>1225</v>
      </c>
      <c r="BC850">
        <v>1253</v>
      </c>
      <c r="BD850" t="s">
        <v>74</v>
      </c>
      <c r="BE850" t="s">
        <v>10263</v>
      </c>
      <c r="BF850" t="str">
        <f>HYPERLINK("http://dx.doi.org/10.1093/petrology/38.9.1225","http://dx.doi.org/10.1093/petrology/38.9.1225")</f>
        <v>http://dx.doi.org/10.1093/petrology/38.9.1225</v>
      </c>
      <c r="BG850" t="s">
        <v>74</v>
      </c>
      <c r="BH850" t="s">
        <v>74</v>
      </c>
      <c r="BI850">
        <v>29</v>
      </c>
      <c r="BJ850" t="s">
        <v>143</v>
      </c>
      <c r="BK850" t="s">
        <v>98</v>
      </c>
      <c r="BL850" t="s">
        <v>143</v>
      </c>
      <c r="BM850" t="s">
        <v>10264</v>
      </c>
      <c r="BN850" t="s">
        <v>74</v>
      </c>
      <c r="BO850" t="s">
        <v>100</v>
      </c>
      <c r="BP850" t="s">
        <v>74</v>
      </c>
      <c r="BQ850" t="s">
        <v>74</v>
      </c>
      <c r="BR850" t="s">
        <v>101</v>
      </c>
      <c r="BS850" t="s">
        <v>10265</v>
      </c>
      <c r="BT850" t="str">
        <f>HYPERLINK("https%3A%2F%2Fwww.webofscience.com%2Fwos%2Fwoscc%2Ffull-record%2FWOS:A1997XX35900005","View Full Record in Web of Science")</f>
        <v>View Full Record in Web of Science</v>
      </c>
    </row>
    <row r="851" spans="1:72" x14ac:dyDescent="0.15">
      <c r="A851" t="s">
        <v>72</v>
      </c>
      <c r="B851" t="s">
        <v>10266</v>
      </c>
      <c r="C851" t="s">
        <v>74</v>
      </c>
      <c r="D851" t="s">
        <v>74</v>
      </c>
      <c r="E851" t="s">
        <v>74</v>
      </c>
      <c r="F851" t="s">
        <v>10266</v>
      </c>
      <c r="G851" t="s">
        <v>74</v>
      </c>
      <c r="H851" t="s">
        <v>74</v>
      </c>
      <c r="I851" t="s">
        <v>10267</v>
      </c>
      <c r="J851" t="s">
        <v>739</v>
      </c>
      <c r="K851" t="s">
        <v>74</v>
      </c>
      <c r="L851" t="s">
        <v>74</v>
      </c>
      <c r="M851" t="s">
        <v>77</v>
      </c>
      <c r="N851" t="s">
        <v>78</v>
      </c>
      <c r="O851" t="s">
        <v>74</v>
      </c>
      <c r="P851" t="s">
        <v>74</v>
      </c>
      <c r="Q851" t="s">
        <v>74</v>
      </c>
      <c r="R851" t="s">
        <v>74</v>
      </c>
      <c r="S851" t="s">
        <v>74</v>
      </c>
      <c r="T851" t="s">
        <v>74</v>
      </c>
      <c r="U851" t="s">
        <v>10268</v>
      </c>
      <c r="V851" t="s">
        <v>10269</v>
      </c>
      <c r="W851" t="s">
        <v>74</v>
      </c>
      <c r="X851" t="s">
        <v>74</v>
      </c>
      <c r="Y851" t="s">
        <v>10270</v>
      </c>
      <c r="Z851" t="s">
        <v>74</v>
      </c>
      <c r="AA851" t="s">
        <v>8185</v>
      </c>
      <c r="AB851" t="s">
        <v>8186</v>
      </c>
      <c r="AC851" t="s">
        <v>74</v>
      </c>
      <c r="AD851" t="s">
        <v>74</v>
      </c>
      <c r="AE851" t="s">
        <v>74</v>
      </c>
      <c r="AF851" t="s">
        <v>74</v>
      </c>
      <c r="AG851">
        <v>29</v>
      </c>
      <c r="AH851">
        <v>65</v>
      </c>
      <c r="AI851">
        <v>66</v>
      </c>
      <c r="AJ851">
        <v>0</v>
      </c>
      <c r="AK851">
        <v>5</v>
      </c>
      <c r="AL851" t="s">
        <v>627</v>
      </c>
      <c r="AM851" t="s">
        <v>628</v>
      </c>
      <c r="AN851" t="s">
        <v>8550</v>
      </c>
      <c r="AO851" t="s">
        <v>746</v>
      </c>
      <c r="AP851" t="s">
        <v>74</v>
      </c>
      <c r="AQ851" t="s">
        <v>74</v>
      </c>
      <c r="AR851" t="s">
        <v>747</v>
      </c>
      <c r="AS851" t="s">
        <v>748</v>
      </c>
      <c r="AT851" t="s">
        <v>9908</v>
      </c>
      <c r="AU851">
        <v>1997</v>
      </c>
      <c r="AV851">
        <v>27</v>
      </c>
      <c r="AW851">
        <v>9</v>
      </c>
      <c r="AX851" t="s">
        <v>74</v>
      </c>
      <c r="AY851" t="s">
        <v>74</v>
      </c>
      <c r="AZ851" t="s">
        <v>74</v>
      </c>
      <c r="BA851" t="s">
        <v>74</v>
      </c>
      <c r="BB851">
        <v>1903</v>
      </c>
      <c r="BC851">
        <v>1926</v>
      </c>
      <c r="BD851" t="s">
        <v>74</v>
      </c>
      <c r="BE851" t="s">
        <v>10271</v>
      </c>
      <c r="BF851" t="str">
        <f>HYPERLINK("http://dx.doi.org/10.1175/1520-0485(1997)027&lt;1903:ABWFIT&gt;2.0.CO;2","http://dx.doi.org/10.1175/1520-0485(1997)027&lt;1903:ABWFIT&gt;2.0.CO;2")</f>
        <v>http://dx.doi.org/10.1175/1520-0485(1997)027&lt;1903:ABWFIT&gt;2.0.CO;2</v>
      </c>
      <c r="BG851" t="s">
        <v>74</v>
      </c>
      <c r="BH851" t="s">
        <v>74</v>
      </c>
      <c r="BI851">
        <v>24</v>
      </c>
      <c r="BJ851" t="s">
        <v>97</v>
      </c>
      <c r="BK851" t="s">
        <v>98</v>
      </c>
      <c r="BL851" t="s">
        <v>97</v>
      </c>
      <c r="BM851" t="s">
        <v>10272</v>
      </c>
      <c r="BN851" t="s">
        <v>74</v>
      </c>
      <c r="BO851" t="s">
        <v>123</v>
      </c>
      <c r="BP851" t="s">
        <v>74</v>
      </c>
      <c r="BQ851" t="s">
        <v>74</v>
      </c>
      <c r="BR851" t="s">
        <v>101</v>
      </c>
      <c r="BS851" t="s">
        <v>10273</v>
      </c>
      <c r="BT851" t="str">
        <f>HYPERLINK("https%3A%2F%2Fwww.webofscience.com%2Fwos%2Fwoscc%2Ffull-record%2FWOS:A1997XX16400006","View Full Record in Web of Science")</f>
        <v>View Full Record in Web of Science</v>
      </c>
    </row>
    <row r="852" spans="1:72" x14ac:dyDescent="0.15">
      <c r="A852" t="s">
        <v>72</v>
      </c>
      <c r="B852" t="s">
        <v>10274</v>
      </c>
      <c r="C852" t="s">
        <v>74</v>
      </c>
      <c r="D852" t="s">
        <v>74</v>
      </c>
      <c r="E852" t="s">
        <v>74</v>
      </c>
      <c r="F852" t="s">
        <v>10274</v>
      </c>
      <c r="G852" t="s">
        <v>74</v>
      </c>
      <c r="H852" t="s">
        <v>74</v>
      </c>
      <c r="I852" t="s">
        <v>10275</v>
      </c>
      <c r="J852" t="s">
        <v>739</v>
      </c>
      <c r="K852" t="s">
        <v>74</v>
      </c>
      <c r="L852" t="s">
        <v>74</v>
      </c>
      <c r="M852" t="s">
        <v>77</v>
      </c>
      <c r="N852" t="s">
        <v>78</v>
      </c>
      <c r="O852" t="s">
        <v>74</v>
      </c>
      <c r="P852" t="s">
        <v>74</v>
      </c>
      <c r="Q852" t="s">
        <v>74</v>
      </c>
      <c r="R852" t="s">
        <v>74</v>
      </c>
      <c r="S852" t="s">
        <v>74</v>
      </c>
      <c r="T852" t="s">
        <v>74</v>
      </c>
      <c r="U852" t="s">
        <v>10276</v>
      </c>
      <c r="V852" t="s">
        <v>10277</v>
      </c>
      <c r="W852" t="s">
        <v>10278</v>
      </c>
      <c r="X852" t="s">
        <v>961</v>
      </c>
      <c r="Y852" t="s">
        <v>10279</v>
      </c>
      <c r="Z852" t="s">
        <v>74</v>
      </c>
      <c r="AA852" t="s">
        <v>10280</v>
      </c>
      <c r="AB852" t="s">
        <v>10281</v>
      </c>
      <c r="AC852" t="s">
        <v>74</v>
      </c>
      <c r="AD852" t="s">
        <v>74</v>
      </c>
      <c r="AE852" t="s">
        <v>74</v>
      </c>
      <c r="AF852" t="s">
        <v>74</v>
      </c>
      <c r="AG852">
        <v>37</v>
      </c>
      <c r="AH852">
        <v>91</v>
      </c>
      <c r="AI852">
        <v>96</v>
      </c>
      <c r="AJ852">
        <v>0</v>
      </c>
      <c r="AK852">
        <v>6</v>
      </c>
      <c r="AL852" t="s">
        <v>627</v>
      </c>
      <c r="AM852" t="s">
        <v>628</v>
      </c>
      <c r="AN852" t="s">
        <v>8550</v>
      </c>
      <c r="AO852" t="s">
        <v>746</v>
      </c>
      <c r="AP852" t="s">
        <v>74</v>
      </c>
      <c r="AQ852" t="s">
        <v>74</v>
      </c>
      <c r="AR852" t="s">
        <v>747</v>
      </c>
      <c r="AS852" t="s">
        <v>748</v>
      </c>
      <c r="AT852" t="s">
        <v>9908</v>
      </c>
      <c r="AU852">
        <v>1997</v>
      </c>
      <c r="AV852">
        <v>27</v>
      </c>
      <c r="AW852">
        <v>9</v>
      </c>
      <c r="AX852" t="s">
        <v>74</v>
      </c>
      <c r="AY852" t="s">
        <v>74</v>
      </c>
      <c r="AZ852" t="s">
        <v>74</v>
      </c>
      <c r="BA852" t="s">
        <v>74</v>
      </c>
      <c r="BB852">
        <v>2040</v>
      </c>
      <c r="BC852">
        <v>2054</v>
      </c>
      <c r="BD852" t="s">
        <v>74</v>
      </c>
      <c r="BE852" t="s">
        <v>10282</v>
      </c>
      <c r="BF852" t="str">
        <f>HYPERLINK("http://dx.doi.org/10.1175/1520-0485(1997)027&lt;2040:IOSHWO&gt;2.0.CO;2","http://dx.doi.org/10.1175/1520-0485(1997)027&lt;2040:IOSHWO&gt;2.0.CO;2")</f>
        <v>http://dx.doi.org/10.1175/1520-0485(1997)027&lt;2040:IOSHWO&gt;2.0.CO;2</v>
      </c>
      <c r="BG852" t="s">
        <v>74</v>
      </c>
      <c r="BH852" t="s">
        <v>74</v>
      </c>
      <c r="BI852">
        <v>15</v>
      </c>
      <c r="BJ852" t="s">
        <v>97</v>
      </c>
      <c r="BK852" t="s">
        <v>98</v>
      </c>
      <c r="BL852" t="s">
        <v>97</v>
      </c>
      <c r="BM852" t="s">
        <v>10272</v>
      </c>
      <c r="BN852" t="s">
        <v>74</v>
      </c>
      <c r="BO852" t="s">
        <v>100</v>
      </c>
      <c r="BP852" t="s">
        <v>74</v>
      </c>
      <c r="BQ852" t="s">
        <v>74</v>
      </c>
      <c r="BR852" t="s">
        <v>101</v>
      </c>
      <c r="BS852" t="s">
        <v>10283</v>
      </c>
      <c r="BT852" t="str">
        <f>HYPERLINK("https%3A%2F%2Fwww.webofscience.com%2Fwos%2Fwoscc%2Ffull-record%2FWOS:A1997XX16400015","View Full Record in Web of Science")</f>
        <v>View Full Record in Web of Science</v>
      </c>
    </row>
    <row r="853" spans="1:72" x14ac:dyDescent="0.15">
      <c r="A853" t="s">
        <v>72</v>
      </c>
      <c r="B853" t="s">
        <v>10284</v>
      </c>
      <c r="C853" t="s">
        <v>74</v>
      </c>
      <c r="D853" t="s">
        <v>74</v>
      </c>
      <c r="E853" t="s">
        <v>74</v>
      </c>
      <c r="F853" t="s">
        <v>10284</v>
      </c>
      <c r="G853" t="s">
        <v>74</v>
      </c>
      <c r="H853" t="s">
        <v>74</v>
      </c>
      <c r="I853" t="s">
        <v>10285</v>
      </c>
      <c r="J853" t="s">
        <v>8556</v>
      </c>
      <c r="K853" t="s">
        <v>74</v>
      </c>
      <c r="L853" t="s">
        <v>74</v>
      </c>
      <c r="M853" t="s">
        <v>77</v>
      </c>
      <c r="N853" t="s">
        <v>78</v>
      </c>
      <c r="O853" t="s">
        <v>74</v>
      </c>
      <c r="P853" t="s">
        <v>74</v>
      </c>
      <c r="Q853" t="s">
        <v>74</v>
      </c>
      <c r="R853" t="s">
        <v>74</v>
      </c>
      <c r="S853" t="s">
        <v>74</v>
      </c>
      <c r="T853" t="s">
        <v>74</v>
      </c>
      <c r="U853" t="s">
        <v>10286</v>
      </c>
      <c r="V853" t="s">
        <v>10287</v>
      </c>
      <c r="W853" t="s">
        <v>74</v>
      </c>
      <c r="X853" t="s">
        <v>74</v>
      </c>
      <c r="Y853" t="s">
        <v>10288</v>
      </c>
      <c r="Z853" t="s">
        <v>74</v>
      </c>
      <c r="AA853" t="s">
        <v>10289</v>
      </c>
      <c r="AB853" t="s">
        <v>10290</v>
      </c>
      <c r="AC853" t="s">
        <v>74</v>
      </c>
      <c r="AD853" t="s">
        <v>74</v>
      </c>
      <c r="AE853" t="s">
        <v>74</v>
      </c>
      <c r="AF853" t="s">
        <v>74</v>
      </c>
      <c r="AG853">
        <v>43</v>
      </c>
      <c r="AH853">
        <v>28</v>
      </c>
      <c r="AI853">
        <v>33</v>
      </c>
      <c r="AJ853">
        <v>0</v>
      </c>
      <c r="AK853">
        <v>7</v>
      </c>
      <c r="AL853" t="s">
        <v>1692</v>
      </c>
      <c r="AM853" t="s">
        <v>214</v>
      </c>
      <c r="AN853" t="s">
        <v>10259</v>
      </c>
      <c r="AO853" t="s">
        <v>8564</v>
      </c>
      <c r="AP853" t="s">
        <v>74</v>
      </c>
      <c r="AQ853" t="s">
        <v>74</v>
      </c>
      <c r="AR853" t="s">
        <v>8565</v>
      </c>
      <c r="AS853" t="s">
        <v>8566</v>
      </c>
      <c r="AT853" t="s">
        <v>9908</v>
      </c>
      <c r="AU853">
        <v>1997</v>
      </c>
      <c r="AV853">
        <v>19</v>
      </c>
      <c r="AW853">
        <v>9</v>
      </c>
      <c r="AX853" t="s">
        <v>74</v>
      </c>
      <c r="AY853" t="s">
        <v>74</v>
      </c>
      <c r="AZ853" t="s">
        <v>74</v>
      </c>
      <c r="BA853" t="s">
        <v>74</v>
      </c>
      <c r="BB853">
        <v>1235</v>
      </c>
      <c r="BC853">
        <v>1250</v>
      </c>
      <c r="BD853" t="s">
        <v>74</v>
      </c>
      <c r="BE853" t="s">
        <v>10291</v>
      </c>
      <c r="BF853" t="str">
        <f>HYPERLINK("http://dx.doi.org/10.1093/plankt/19.9.1235","http://dx.doi.org/10.1093/plankt/19.9.1235")</f>
        <v>http://dx.doi.org/10.1093/plankt/19.9.1235</v>
      </c>
      <c r="BG853" t="s">
        <v>74</v>
      </c>
      <c r="BH853" t="s">
        <v>74</v>
      </c>
      <c r="BI853">
        <v>16</v>
      </c>
      <c r="BJ853" t="s">
        <v>4525</v>
      </c>
      <c r="BK853" t="s">
        <v>98</v>
      </c>
      <c r="BL853" t="s">
        <v>4525</v>
      </c>
      <c r="BM853" t="s">
        <v>10292</v>
      </c>
      <c r="BN853" t="s">
        <v>74</v>
      </c>
      <c r="BO853" t="s">
        <v>647</v>
      </c>
      <c r="BP853" t="s">
        <v>74</v>
      </c>
      <c r="BQ853" t="s">
        <v>74</v>
      </c>
      <c r="BR853" t="s">
        <v>101</v>
      </c>
      <c r="BS853" t="s">
        <v>10293</v>
      </c>
      <c r="BT853" t="str">
        <f>HYPERLINK("https%3A%2F%2Fwww.webofscience.com%2Fwos%2Fwoscc%2Ffull-record%2FWOS:A1997XW79100003","View Full Record in Web of Science")</f>
        <v>View Full Record in Web of Science</v>
      </c>
    </row>
    <row r="854" spans="1:72" x14ac:dyDescent="0.15">
      <c r="A854" t="s">
        <v>72</v>
      </c>
      <c r="B854" t="s">
        <v>10294</v>
      </c>
      <c r="C854" t="s">
        <v>74</v>
      </c>
      <c r="D854" t="s">
        <v>74</v>
      </c>
      <c r="E854" t="s">
        <v>74</v>
      </c>
      <c r="F854" t="s">
        <v>10294</v>
      </c>
      <c r="G854" t="s">
        <v>74</v>
      </c>
      <c r="H854" t="s">
        <v>74</v>
      </c>
      <c r="I854" t="s">
        <v>10295</v>
      </c>
      <c r="J854" t="s">
        <v>8556</v>
      </c>
      <c r="K854" t="s">
        <v>74</v>
      </c>
      <c r="L854" t="s">
        <v>74</v>
      </c>
      <c r="M854" t="s">
        <v>77</v>
      </c>
      <c r="N854" t="s">
        <v>78</v>
      </c>
      <c r="O854" t="s">
        <v>74</v>
      </c>
      <c r="P854" t="s">
        <v>74</v>
      </c>
      <c r="Q854" t="s">
        <v>74</v>
      </c>
      <c r="R854" t="s">
        <v>74</v>
      </c>
      <c r="S854" t="s">
        <v>74</v>
      </c>
      <c r="T854" t="s">
        <v>74</v>
      </c>
      <c r="U854" t="s">
        <v>10296</v>
      </c>
      <c r="V854" t="s">
        <v>10297</v>
      </c>
      <c r="W854" t="s">
        <v>74</v>
      </c>
      <c r="X854" t="s">
        <v>74</v>
      </c>
      <c r="Y854" t="s">
        <v>10298</v>
      </c>
      <c r="Z854" t="s">
        <v>74</v>
      </c>
      <c r="AA854" t="s">
        <v>10299</v>
      </c>
      <c r="AB854" t="s">
        <v>4120</v>
      </c>
      <c r="AC854" t="s">
        <v>74</v>
      </c>
      <c r="AD854" t="s">
        <v>74</v>
      </c>
      <c r="AE854" t="s">
        <v>74</v>
      </c>
      <c r="AF854" t="s">
        <v>74</v>
      </c>
      <c r="AG854">
        <v>68</v>
      </c>
      <c r="AH854">
        <v>34</v>
      </c>
      <c r="AI854">
        <v>35</v>
      </c>
      <c r="AJ854">
        <v>0</v>
      </c>
      <c r="AK854">
        <v>8</v>
      </c>
      <c r="AL854" t="s">
        <v>1692</v>
      </c>
      <c r="AM854" t="s">
        <v>214</v>
      </c>
      <c r="AN854" t="s">
        <v>1693</v>
      </c>
      <c r="AO854" t="s">
        <v>8564</v>
      </c>
      <c r="AP854" t="s">
        <v>74</v>
      </c>
      <c r="AQ854" t="s">
        <v>74</v>
      </c>
      <c r="AR854" t="s">
        <v>8565</v>
      </c>
      <c r="AS854" t="s">
        <v>8566</v>
      </c>
      <c r="AT854" t="s">
        <v>9908</v>
      </c>
      <c r="AU854">
        <v>1997</v>
      </c>
      <c r="AV854">
        <v>19</v>
      </c>
      <c r="AW854">
        <v>9</v>
      </c>
      <c r="AX854" t="s">
        <v>74</v>
      </c>
      <c r="AY854" t="s">
        <v>74</v>
      </c>
      <c r="AZ854" t="s">
        <v>74</v>
      </c>
      <c r="BA854" t="s">
        <v>74</v>
      </c>
      <c r="BB854">
        <v>1305</v>
      </c>
      <c r="BC854">
        <v>1330</v>
      </c>
      <c r="BD854" t="s">
        <v>74</v>
      </c>
      <c r="BE854" t="s">
        <v>10300</v>
      </c>
      <c r="BF854" t="str">
        <f>HYPERLINK("http://dx.doi.org/10.1093/plankt/19.9.1305","http://dx.doi.org/10.1093/plankt/19.9.1305")</f>
        <v>http://dx.doi.org/10.1093/plankt/19.9.1305</v>
      </c>
      <c r="BG854" t="s">
        <v>74</v>
      </c>
      <c r="BH854" t="s">
        <v>74</v>
      </c>
      <c r="BI854">
        <v>26</v>
      </c>
      <c r="BJ854" t="s">
        <v>4525</v>
      </c>
      <c r="BK854" t="s">
        <v>98</v>
      </c>
      <c r="BL854" t="s">
        <v>4525</v>
      </c>
      <c r="BM854" t="s">
        <v>10292</v>
      </c>
      <c r="BN854" t="s">
        <v>74</v>
      </c>
      <c r="BO854" t="s">
        <v>100</v>
      </c>
      <c r="BP854" t="s">
        <v>74</v>
      </c>
      <c r="BQ854" t="s">
        <v>74</v>
      </c>
      <c r="BR854" t="s">
        <v>101</v>
      </c>
      <c r="BS854" t="s">
        <v>10301</v>
      </c>
      <c r="BT854" t="str">
        <f>HYPERLINK("https%3A%2F%2Fwww.webofscience.com%2Fwos%2Fwoscc%2Ffull-record%2FWOS:A1997XW79100008","View Full Record in Web of Science")</f>
        <v>View Full Record in Web of Science</v>
      </c>
    </row>
    <row r="855" spans="1:72" x14ac:dyDescent="0.15">
      <c r="A855" t="s">
        <v>72</v>
      </c>
      <c r="B855" t="s">
        <v>10302</v>
      </c>
      <c r="C855" t="s">
        <v>74</v>
      </c>
      <c r="D855" t="s">
        <v>74</v>
      </c>
      <c r="E855" t="s">
        <v>74</v>
      </c>
      <c r="F855" t="s">
        <v>10302</v>
      </c>
      <c r="G855" t="s">
        <v>74</v>
      </c>
      <c r="H855" t="s">
        <v>74</v>
      </c>
      <c r="I855" t="s">
        <v>10303</v>
      </c>
      <c r="J855" t="s">
        <v>10304</v>
      </c>
      <c r="K855" t="s">
        <v>74</v>
      </c>
      <c r="L855" t="s">
        <v>74</v>
      </c>
      <c r="M855" t="s">
        <v>77</v>
      </c>
      <c r="N855" t="s">
        <v>379</v>
      </c>
      <c r="O855" t="s">
        <v>10305</v>
      </c>
      <c r="P855" t="s">
        <v>10306</v>
      </c>
      <c r="Q855" t="s">
        <v>4586</v>
      </c>
      <c r="R855" t="s">
        <v>74</v>
      </c>
      <c r="S855" t="s">
        <v>74</v>
      </c>
      <c r="T855" t="s">
        <v>74</v>
      </c>
      <c r="U855" t="s">
        <v>10307</v>
      </c>
      <c r="V855" t="s">
        <v>10308</v>
      </c>
      <c r="W855" t="s">
        <v>10255</v>
      </c>
      <c r="X855" t="s">
        <v>322</v>
      </c>
      <c r="Y855" t="s">
        <v>10309</v>
      </c>
      <c r="Z855" t="s">
        <v>74</v>
      </c>
      <c r="AA855" t="s">
        <v>74</v>
      </c>
      <c r="AB855" t="s">
        <v>74</v>
      </c>
      <c r="AC855" t="s">
        <v>74</v>
      </c>
      <c r="AD855" t="s">
        <v>74</v>
      </c>
      <c r="AE855" t="s">
        <v>74</v>
      </c>
      <c r="AF855" t="s">
        <v>74</v>
      </c>
      <c r="AG855">
        <v>16</v>
      </c>
      <c r="AH855">
        <v>56</v>
      </c>
      <c r="AI855">
        <v>57</v>
      </c>
      <c r="AJ855">
        <v>0</v>
      </c>
      <c r="AK855">
        <v>13</v>
      </c>
      <c r="AL855" t="s">
        <v>4307</v>
      </c>
      <c r="AM855" t="s">
        <v>4308</v>
      </c>
      <c r="AN855" t="s">
        <v>10310</v>
      </c>
      <c r="AO855" t="s">
        <v>10311</v>
      </c>
      <c r="AP855" t="s">
        <v>74</v>
      </c>
      <c r="AQ855" t="s">
        <v>74</v>
      </c>
      <c r="AR855" t="s">
        <v>10312</v>
      </c>
      <c r="AS855" t="s">
        <v>10313</v>
      </c>
      <c r="AT855" t="s">
        <v>9908</v>
      </c>
      <c r="AU855">
        <v>1997</v>
      </c>
      <c r="AV855">
        <v>28</v>
      </c>
      <c r="AW855">
        <v>9</v>
      </c>
      <c r="AX855" t="s">
        <v>74</v>
      </c>
      <c r="AY855" t="s">
        <v>74</v>
      </c>
      <c r="AZ855" t="s">
        <v>74</v>
      </c>
      <c r="BA855" t="s">
        <v>74</v>
      </c>
      <c r="BB855">
        <v>685</v>
      </c>
      <c r="BC855">
        <v>690</v>
      </c>
      <c r="BD855" t="s">
        <v>74</v>
      </c>
      <c r="BE855" t="s">
        <v>74</v>
      </c>
      <c r="BF855" t="s">
        <v>74</v>
      </c>
      <c r="BG855" t="s">
        <v>74</v>
      </c>
      <c r="BH855" t="s">
        <v>74</v>
      </c>
      <c r="BI855">
        <v>6</v>
      </c>
      <c r="BJ855" t="s">
        <v>10314</v>
      </c>
      <c r="BK855" t="s">
        <v>397</v>
      </c>
      <c r="BL855" t="s">
        <v>10314</v>
      </c>
      <c r="BM855" t="s">
        <v>10315</v>
      </c>
      <c r="BN855" t="s">
        <v>74</v>
      </c>
      <c r="BO855" t="s">
        <v>74</v>
      </c>
      <c r="BP855" t="s">
        <v>74</v>
      </c>
      <c r="BQ855" t="s">
        <v>74</v>
      </c>
      <c r="BR855" t="s">
        <v>101</v>
      </c>
      <c r="BS855" t="s">
        <v>10316</v>
      </c>
      <c r="BT855" t="str">
        <f>HYPERLINK("https%3A%2F%2Fwww.webofscience.com%2Fwos%2Fwoscc%2Ffull-record%2FWOS:A1997YB79300007","View Full Record in Web of Science")</f>
        <v>View Full Record in Web of Science</v>
      </c>
    </row>
    <row r="856" spans="1:72" x14ac:dyDescent="0.15">
      <c r="A856" t="s">
        <v>72</v>
      </c>
      <c r="B856" t="s">
        <v>10317</v>
      </c>
      <c r="C856" t="s">
        <v>74</v>
      </c>
      <c r="D856" t="s">
        <v>74</v>
      </c>
      <c r="E856" t="s">
        <v>74</v>
      </c>
      <c r="F856" t="s">
        <v>10317</v>
      </c>
      <c r="G856" t="s">
        <v>74</v>
      </c>
      <c r="H856" t="s">
        <v>74</v>
      </c>
      <c r="I856" t="s">
        <v>10318</v>
      </c>
      <c r="J856" t="s">
        <v>10304</v>
      </c>
      <c r="K856" t="s">
        <v>74</v>
      </c>
      <c r="L856" t="s">
        <v>74</v>
      </c>
      <c r="M856" t="s">
        <v>77</v>
      </c>
      <c r="N856" t="s">
        <v>379</v>
      </c>
      <c r="O856" t="s">
        <v>10305</v>
      </c>
      <c r="P856" t="s">
        <v>10306</v>
      </c>
      <c r="Q856" t="s">
        <v>4586</v>
      </c>
      <c r="R856" t="s">
        <v>74</v>
      </c>
      <c r="S856" t="s">
        <v>74</v>
      </c>
      <c r="T856" t="s">
        <v>74</v>
      </c>
      <c r="U856" t="s">
        <v>10319</v>
      </c>
      <c r="V856" t="s">
        <v>10320</v>
      </c>
      <c r="W856" t="s">
        <v>10321</v>
      </c>
      <c r="X856" t="s">
        <v>10322</v>
      </c>
      <c r="Y856" t="s">
        <v>10323</v>
      </c>
      <c r="Z856" t="s">
        <v>74</v>
      </c>
      <c r="AA856" t="s">
        <v>10324</v>
      </c>
      <c r="AB856" t="s">
        <v>10325</v>
      </c>
      <c r="AC856" t="s">
        <v>74</v>
      </c>
      <c r="AD856" t="s">
        <v>74</v>
      </c>
      <c r="AE856" t="s">
        <v>74</v>
      </c>
      <c r="AF856" t="s">
        <v>74</v>
      </c>
      <c r="AG856">
        <v>12</v>
      </c>
      <c r="AH856">
        <v>23</v>
      </c>
      <c r="AI856">
        <v>24</v>
      </c>
      <c r="AJ856">
        <v>0</v>
      </c>
      <c r="AK856">
        <v>9</v>
      </c>
      <c r="AL856" t="s">
        <v>4307</v>
      </c>
      <c r="AM856" t="s">
        <v>4308</v>
      </c>
      <c r="AN856" t="s">
        <v>10310</v>
      </c>
      <c r="AO856" t="s">
        <v>10311</v>
      </c>
      <c r="AP856" t="s">
        <v>74</v>
      </c>
      <c r="AQ856" t="s">
        <v>74</v>
      </c>
      <c r="AR856" t="s">
        <v>10312</v>
      </c>
      <c r="AS856" t="s">
        <v>10313</v>
      </c>
      <c r="AT856" t="s">
        <v>9908</v>
      </c>
      <c r="AU856">
        <v>1997</v>
      </c>
      <c r="AV856">
        <v>28</v>
      </c>
      <c r="AW856">
        <v>9</v>
      </c>
      <c r="AX856" t="s">
        <v>74</v>
      </c>
      <c r="AY856" t="s">
        <v>74</v>
      </c>
      <c r="AZ856" t="s">
        <v>74</v>
      </c>
      <c r="BA856" t="s">
        <v>74</v>
      </c>
      <c r="BB856">
        <v>711</v>
      </c>
      <c r="BC856">
        <v>715</v>
      </c>
      <c r="BD856" t="s">
        <v>74</v>
      </c>
      <c r="BE856" t="s">
        <v>74</v>
      </c>
      <c r="BF856" t="s">
        <v>74</v>
      </c>
      <c r="BG856" t="s">
        <v>74</v>
      </c>
      <c r="BH856" t="s">
        <v>74</v>
      </c>
      <c r="BI856">
        <v>5</v>
      </c>
      <c r="BJ856" t="s">
        <v>10314</v>
      </c>
      <c r="BK856" t="s">
        <v>397</v>
      </c>
      <c r="BL856" t="s">
        <v>10314</v>
      </c>
      <c r="BM856" t="s">
        <v>10315</v>
      </c>
      <c r="BN856" t="s">
        <v>74</v>
      </c>
      <c r="BO856" t="s">
        <v>74</v>
      </c>
      <c r="BP856" t="s">
        <v>74</v>
      </c>
      <c r="BQ856" t="s">
        <v>74</v>
      </c>
      <c r="BR856" t="s">
        <v>101</v>
      </c>
      <c r="BS856" t="s">
        <v>10326</v>
      </c>
      <c r="BT856" t="str">
        <f>HYPERLINK("https%3A%2F%2Fwww.webofscience.com%2Fwos%2Fwoscc%2Ffull-record%2FWOS:A1997YB79300010","View Full Record in Web of Science")</f>
        <v>View Full Record in Web of Science</v>
      </c>
    </row>
    <row r="857" spans="1:72" x14ac:dyDescent="0.15">
      <c r="A857" t="s">
        <v>72</v>
      </c>
      <c r="B857" t="s">
        <v>10327</v>
      </c>
      <c r="C857" t="s">
        <v>74</v>
      </c>
      <c r="D857" t="s">
        <v>74</v>
      </c>
      <c r="E857" t="s">
        <v>74</v>
      </c>
      <c r="F857" t="s">
        <v>10327</v>
      </c>
      <c r="G857" t="s">
        <v>74</v>
      </c>
      <c r="H857" t="s">
        <v>74</v>
      </c>
      <c r="I857" t="s">
        <v>10328</v>
      </c>
      <c r="J857" t="s">
        <v>754</v>
      </c>
      <c r="K857" t="s">
        <v>74</v>
      </c>
      <c r="L857" t="s">
        <v>74</v>
      </c>
      <c r="M857" t="s">
        <v>77</v>
      </c>
      <c r="N857" t="s">
        <v>78</v>
      </c>
      <c r="O857" t="s">
        <v>74</v>
      </c>
      <c r="P857" t="s">
        <v>74</v>
      </c>
      <c r="Q857" t="s">
        <v>74</v>
      </c>
      <c r="R857" t="s">
        <v>74</v>
      </c>
      <c r="S857" t="s">
        <v>74</v>
      </c>
      <c r="T857" t="s">
        <v>10329</v>
      </c>
      <c r="U857" t="s">
        <v>10330</v>
      </c>
      <c r="V857" t="s">
        <v>10331</v>
      </c>
      <c r="W857" t="s">
        <v>10332</v>
      </c>
      <c r="X857" t="s">
        <v>10333</v>
      </c>
      <c r="Y857" t="s">
        <v>10334</v>
      </c>
      <c r="Z857" t="s">
        <v>74</v>
      </c>
      <c r="AA857" t="s">
        <v>10335</v>
      </c>
      <c r="AB857" t="s">
        <v>10336</v>
      </c>
      <c r="AC857" t="s">
        <v>74</v>
      </c>
      <c r="AD857" t="s">
        <v>74</v>
      </c>
      <c r="AE857" t="s">
        <v>74</v>
      </c>
      <c r="AF857" t="s">
        <v>74</v>
      </c>
      <c r="AG857">
        <v>24</v>
      </c>
      <c r="AH857">
        <v>41</v>
      </c>
      <c r="AI857">
        <v>46</v>
      </c>
      <c r="AJ857">
        <v>0</v>
      </c>
      <c r="AK857">
        <v>6</v>
      </c>
      <c r="AL857" t="s">
        <v>762</v>
      </c>
      <c r="AM857" t="s">
        <v>763</v>
      </c>
      <c r="AN857" t="s">
        <v>764</v>
      </c>
      <c r="AO857" t="s">
        <v>765</v>
      </c>
      <c r="AP857" t="s">
        <v>74</v>
      </c>
      <c r="AQ857" t="s">
        <v>74</v>
      </c>
      <c r="AR857" t="s">
        <v>766</v>
      </c>
      <c r="AS857" t="s">
        <v>767</v>
      </c>
      <c r="AT857" t="s">
        <v>9908</v>
      </c>
      <c r="AU857">
        <v>1997</v>
      </c>
      <c r="AV857">
        <v>154</v>
      </c>
      <c r="AW857" t="s">
        <v>74</v>
      </c>
      <c r="AX857">
        <v>5</v>
      </c>
      <c r="AY857" t="s">
        <v>74</v>
      </c>
      <c r="AZ857" t="s">
        <v>74</v>
      </c>
      <c r="BA857" t="s">
        <v>74</v>
      </c>
      <c r="BB857">
        <v>849</v>
      </c>
      <c r="BC857">
        <v>862</v>
      </c>
      <c r="BD857" t="s">
        <v>74</v>
      </c>
      <c r="BE857" t="s">
        <v>10337</v>
      </c>
      <c r="BF857" t="str">
        <f>HYPERLINK("http://dx.doi.org/10.1144/gsjgs.154.5.0849","http://dx.doi.org/10.1144/gsjgs.154.5.0849")</f>
        <v>http://dx.doi.org/10.1144/gsjgs.154.5.0849</v>
      </c>
      <c r="BG857" t="s">
        <v>74</v>
      </c>
      <c r="BH857" t="s">
        <v>74</v>
      </c>
      <c r="BI857">
        <v>14</v>
      </c>
      <c r="BJ857" t="s">
        <v>769</v>
      </c>
      <c r="BK857" t="s">
        <v>98</v>
      </c>
      <c r="BL857" t="s">
        <v>471</v>
      </c>
      <c r="BM857" t="s">
        <v>10338</v>
      </c>
      <c r="BN857" t="s">
        <v>74</v>
      </c>
      <c r="BO857" t="s">
        <v>74</v>
      </c>
      <c r="BP857" t="s">
        <v>74</v>
      </c>
      <c r="BQ857" t="s">
        <v>74</v>
      </c>
      <c r="BR857" t="s">
        <v>101</v>
      </c>
      <c r="BS857" t="s">
        <v>10339</v>
      </c>
      <c r="BT857" t="str">
        <f>HYPERLINK("https%3A%2F%2Fwww.webofscience.com%2Fwos%2Fwoscc%2Ffull-record%2FWOS:A1997XT95100013","View Full Record in Web of Science")</f>
        <v>View Full Record in Web of Science</v>
      </c>
    </row>
    <row r="858" spans="1:72" x14ac:dyDescent="0.15">
      <c r="A858" t="s">
        <v>72</v>
      </c>
      <c r="B858" t="s">
        <v>10340</v>
      </c>
      <c r="C858" t="s">
        <v>74</v>
      </c>
      <c r="D858" t="s">
        <v>74</v>
      </c>
      <c r="E858" t="s">
        <v>74</v>
      </c>
      <c r="F858" t="s">
        <v>10340</v>
      </c>
      <c r="G858" t="s">
        <v>74</v>
      </c>
      <c r="H858" t="s">
        <v>74</v>
      </c>
      <c r="I858" t="s">
        <v>10341</v>
      </c>
      <c r="J858" t="s">
        <v>10342</v>
      </c>
      <c r="K858" t="s">
        <v>74</v>
      </c>
      <c r="L858" t="s">
        <v>74</v>
      </c>
      <c r="M858" t="s">
        <v>77</v>
      </c>
      <c r="N858" t="s">
        <v>1135</v>
      </c>
      <c r="O858" t="s">
        <v>74</v>
      </c>
      <c r="P858" t="s">
        <v>74</v>
      </c>
      <c r="Q858" t="s">
        <v>74</v>
      </c>
      <c r="R858" t="s">
        <v>74</v>
      </c>
      <c r="S858" t="s">
        <v>74</v>
      </c>
      <c r="T858" t="s">
        <v>74</v>
      </c>
      <c r="U858" t="s">
        <v>74</v>
      </c>
      <c r="V858" t="s">
        <v>74</v>
      </c>
      <c r="W858" t="s">
        <v>74</v>
      </c>
      <c r="X858" t="s">
        <v>74</v>
      </c>
      <c r="Y858" t="s">
        <v>10343</v>
      </c>
      <c r="Z858" t="s">
        <v>74</v>
      </c>
      <c r="AA858" t="s">
        <v>74</v>
      </c>
      <c r="AB858" t="s">
        <v>74</v>
      </c>
      <c r="AC858" t="s">
        <v>74</v>
      </c>
      <c r="AD858" t="s">
        <v>74</v>
      </c>
      <c r="AE858" t="s">
        <v>74</v>
      </c>
      <c r="AF858" t="s">
        <v>74</v>
      </c>
      <c r="AG858">
        <v>1</v>
      </c>
      <c r="AH858">
        <v>0</v>
      </c>
      <c r="AI858">
        <v>0</v>
      </c>
      <c r="AJ858">
        <v>0</v>
      </c>
      <c r="AK858">
        <v>0</v>
      </c>
      <c r="AL858" t="s">
        <v>10344</v>
      </c>
      <c r="AM858" t="s">
        <v>10345</v>
      </c>
      <c r="AN858" t="s">
        <v>10346</v>
      </c>
      <c r="AO858" t="s">
        <v>10347</v>
      </c>
      <c r="AP858" t="s">
        <v>74</v>
      </c>
      <c r="AQ858" t="s">
        <v>74</v>
      </c>
      <c r="AR858" t="s">
        <v>10342</v>
      </c>
      <c r="AS858" t="s">
        <v>10348</v>
      </c>
      <c r="AT858" t="s">
        <v>10349</v>
      </c>
      <c r="AU858">
        <v>1997</v>
      </c>
      <c r="AV858" t="s">
        <v>74</v>
      </c>
      <c r="AW858">
        <v>193</v>
      </c>
      <c r="AX858" t="s">
        <v>74</v>
      </c>
      <c r="AY858" t="s">
        <v>74</v>
      </c>
      <c r="AZ858" t="s">
        <v>74</v>
      </c>
      <c r="BA858" t="s">
        <v>74</v>
      </c>
      <c r="BB858">
        <v>129</v>
      </c>
      <c r="BC858">
        <v>134</v>
      </c>
      <c r="BD858" t="s">
        <v>74</v>
      </c>
      <c r="BE858" t="s">
        <v>74</v>
      </c>
      <c r="BF858" t="s">
        <v>74</v>
      </c>
      <c r="BG858" t="s">
        <v>74</v>
      </c>
      <c r="BH858" t="s">
        <v>74</v>
      </c>
      <c r="BI858">
        <v>6</v>
      </c>
      <c r="BJ858" t="s">
        <v>10350</v>
      </c>
      <c r="BK858" t="s">
        <v>1142</v>
      </c>
      <c r="BL858" t="s">
        <v>10351</v>
      </c>
      <c r="BM858" t="s">
        <v>10352</v>
      </c>
      <c r="BN858" t="s">
        <v>74</v>
      </c>
      <c r="BO858" t="s">
        <v>74</v>
      </c>
      <c r="BP858" t="s">
        <v>74</v>
      </c>
      <c r="BQ858" t="s">
        <v>74</v>
      </c>
      <c r="BR858" t="s">
        <v>101</v>
      </c>
      <c r="BS858" t="s">
        <v>10353</v>
      </c>
      <c r="BT858" t="str">
        <f>HYPERLINK("https%3A%2F%2Fwww.webofscience.com%2Fwos%2Fwoscc%2Ffull-record%2FWOS:A1997XF31000049","View Full Record in Web of Science")</f>
        <v>View Full Record in Web of Science</v>
      </c>
    </row>
    <row r="859" spans="1:72" x14ac:dyDescent="0.15">
      <c r="A859" t="s">
        <v>72</v>
      </c>
      <c r="B859" t="s">
        <v>10354</v>
      </c>
      <c r="C859" t="s">
        <v>74</v>
      </c>
      <c r="D859" t="s">
        <v>74</v>
      </c>
      <c r="E859" t="s">
        <v>74</v>
      </c>
      <c r="F859" t="s">
        <v>10354</v>
      </c>
      <c r="G859" t="s">
        <v>74</v>
      </c>
      <c r="H859" t="s">
        <v>74</v>
      </c>
      <c r="I859" t="s">
        <v>10355</v>
      </c>
      <c r="J859" t="s">
        <v>5407</v>
      </c>
      <c r="K859" t="s">
        <v>74</v>
      </c>
      <c r="L859" t="s">
        <v>74</v>
      </c>
      <c r="M859" t="s">
        <v>77</v>
      </c>
      <c r="N859" t="s">
        <v>78</v>
      </c>
      <c r="O859" t="s">
        <v>74</v>
      </c>
      <c r="P859" t="s">
        <v>74</v>
      </c>
      <c r="Q859" t="s">
        <v>74</v>
      </c>
      <c r="R859" t="s">
        <v>74</v>
      </c>
      <c r="S859" t="s">
        <v>74</v>
      </c>
      <c r="T859" t="s">
        <v>74</v>
      </c>
      <c r="U859" t="s">
        <v>10356</v>
      </c>
      <c r="V859" t="s">
        <v>10357</v>
      </c>
      <c r="W859" t="s">
        <v>10358</v>
      </c>
      <c r="X859" t="s">
        <v>1292</v>
      </c>
      <c r="Y859" t="s">
        <v>10359</v>
      </c>
      <c r="Z859" t="s">
        <v>74</v>
      </c>
      <c r="AA859" t="s">
        <v>74</v>
      </c>
      <c r="AB859" t="s">
        <v>10360</v>
      </c>
      <c r="AC859" t="s">
        <v>74</v>
      </c>
      <c r="AD859" t="s">
        <v>74</v>
      </c>
      <c r="AE859" t="s">
        <v>74</v>
      </c>
      <c r="AF859" t="s">
        <v>74</v>
      </c>
      <c r="AG859">
        <v>35</v>
      </c>
      <c r="AH859">
        <v>57</v>
      </c>
      <c r="AI859">
        <v>61</v>
      </c>
      <c r="AJ859">
        <v>1</v>
      </c>
      <c r="AK859">
        <v>15</v>
      </c>
      <c r="AL859" t="s">
        <v>812</v>
      </c>
      <c r="AM859" t="s">
        <v>826</v>
      </c>
      <c r="AN859" t="s">
        <v>827</v>
      </c>
      <c r="AO859" t="s">
        <v>5416</v>
      </c>
      <c r="AP859" t="s">
        <v>10361</v>
      </c>
      <c r="AQ859" t="s">
        <v>74</v>
      </c>
      <c r="AR859" t="s">
        <v>5417</v>
      </c>
      <c r="AS859" t="s">
        <v>5418</v>
      </c>
      <c r="AT859" t="s">
        <v>9908</v>
      </c>
      <c r="AU859">
        <v>1997</v>
      </c>
      <c r="AV859">
        <v>42</v>
      </c>
      <c r="AW859">
        <v>6</v>
      </c>
      <c r="AX859" t="s">
        <v>74</v>
      </c>
      <c r="AY859" t="s">
        <v>74</v>
      </c>
      <c r="AZ859" t="s">
        <v>74</v>
      </c>
      <c r="BA859" t="s">
        <v>74</v>
      </c>
      <c r="BB859">
        <v>1406</v>
      </c>
      <c r="BC859">
        <v>1415</v>
      </c>
      <c r="BD859" t="s">
        <v>74</v>
      </c>
      <c r="BE859" t="s">
        <v>10362</v>
      </c>
      <c r="BF859" t="str">
        <f>HYPERLINK("http://dx.doi.org/10.4319/lo.1997.42.6.1406","http://dx.doi.org/10.4319/lo.1997.42.6.1406")</f>
        <v>http://dx.doi.org/10.4319/lo.1997.42.6.1406</v>
      </c>
      <c r="BG859" t="s">
        <v>74</v>
      </c>
      <c r="BH859" t="s">
        <v>74</v>
      </c>
      <c r="BI859">
        <v>10</v>
      </c>
      <c r="BJ859" t="s">
        <v>5420</v>
      </c>
      <c r="BK859" t="s">
        <v>98</v>
      </c>
      <c r="BL859" t="s">
        <v>4525</v>
      </c>
      <c r="BM859" t="s">
        <v>10363</v>
      </c>
      <c r="BN859" t="s">
        <v>74</v>
      </c>
      <c r="BO859" t="s">
        <v>100</v>
      </c>
      <c r="BP859" t="s">
        <v>74</v>
      </c>
      <c r="BQ859" t="s">
        <v>74</v>
      </c>
      <c r="BR859" t="s">
        <v>101</v>
      </c>
      <c r="BS859" t="s">
        <v>10364</v>
      </c>
      <c r="BT859" t="str">
        <f>HYPERLINK("https%3A%2F%2Fwww.webofscience.com%2Fwos%2Fwoscc%2Ffull-record%2FWOS:000071910200010","View Full Record in Web of Science")</f>
        <v>View Full Record in Web of Science</v>
      </c>
    </row>
    <row r="860" spans="1:72" x14ac:dyDescent="0.15">
      <c r="A860" t="s">
        <v>72</v>
      </c>
      <c r="B860" t="s">
        <v>10365</v>
      </c>
      <c r="C860" t="s">
        <v>74</v>
      </c>
      <c r="D860" t="s">
        <v>74</v>
      </c>
      <c r="E860" t="s">
        <v>74</v>
      </c>
      <c r="F860" t="s">
        <v>10365</v>
      </c>
      <c r="G860" t="s">
        <v>74</v>
      </c>
      <c r="H860" t="s">
        <v>74</v>
      </c>
      <c r="I860" t="s">
        <v>10366</v>
      </c>
      <c r="J860" t="s">
        <v>8634</v>
      </c>
      <c r="K860" t="s">
        <v>74</v>
      </c>
      <c r="L860" t="s">
        <v>74</v>
      </c>
      <c r="M860" t="s">
        <v>77</v>
      </c>
      <c r="N860" t="s">
        <v>78</v>
      </c>
      <c r="O860" t="s">
        <v>74</v>
      </c>
      <c r="P860" t="s">
        <v>74</v>
      </c>
      <c r="Q860" t="s">
        <v>74</v>
      </c>
      <c r="R860" t="s">
        <v>74</v>
      </c>
      <c r="S860" t="s">
        <v>74</v>
      </c>
      <c r="T860" t="s">
        <v>10367</v>
      </c>
      <c r="U860" t="s">
        <v>10368</v>
      </c>
      <c r="V860" t="s">
        <v>10369</v>
      </c>
      <c r="W860" t="s">
        <v>10370</v>
      </c>
      <c r="X860" t="s">
        <v>10371</v>
      </c>
      <c r="Y860" t="s">
        <v>74</v>
      </c>
      <c r="Z860" t="s">
        <v>74</v>
      </c>
      <c r="AA860" t="s">
        <v>74</v>
      </c>
      <c r="AB860" t="s">
        <v>74</v>
      </c>
      <c r="AC860" t="s">
        <v>74</v>
      </c>
      <c r="AD860" t="s">
        <v>74</v>
      </c>
      <c r="AE860" t="s">
        <v>74</v>
      </c>
      <c r="AF860" t="s">
        <v>74</v>
      </c>
      <c r="AG860">
        <v>38</v>
      </c>
      <c r="AH860">
        <v>36</v>
      </c>
      <c r="AI860">
        <v>40</v>
      </c>
      <c r="AJ860">
        <v>1</v>
      </c>
      <c r="AK860">
        <v>2</v>
      </c>
      <c r="AL860" t="s">
        <v>1029</v>
      </c>
      <c r="AM860" t="s">
        <v>1030</v>
      </c>
      <c r="AN860" t="s">
        <v>1031</v>
      </c>
      <c r="AO860" t="s">
        <v>8642</v>
      </c>
      <c r="AP860" t="s">
        <v>74</v>
      </c>
      <c r="AQ860" t="s">
        <v>74</v>
      </c>
      <c r="AR860" t="s">
        <v>8644</v>
      </c>
      <c r="AS860" t="s">
        <v>8645</v>
      </c>
      <c r="AT860" t="s">
        <v>9908</v>
      </c>
      <c r="AU860">
        <v>1997</v>
      </c>
      <c r="AV860">
        <v>141</v>
      </c>
      <c r="AW860" t="s">
        <v>4183</v>
      </c>
      <c r="AX860" t="s">
        <v>74</v>
      </c>
      <c r="AY860" t="s">
        <v>74</v>
      </c>
      <c r="AZ860" t="s">
        <v>74</v>
      </c>
      <c r="BA860" t="s">
        <v>74</v>
      </c>
      <c r="BB860">
        <v>91</v>
      </c>
      <c r="BC860">
        <v>109</v>
      </c>
      <c r="BD860" t="s">
        <v>74</v>
      </c>
      <c r="BE860" t="s">
        <v>10372</v>
      </c>
      <c r="BF860" t="str">
        <f>HYPERLINK("http://dx.doi.org/10.1016/S0025-3227(97)00056-X","http://dx.doi.org/10.1016/S0025-3227(97)00056-X")</f>
        <v>http://dx.doi.org/10.1016/S0025-3227(97)00056-X</v>
      </c>
      <c r="BG860" t="s">
        <v>74</v>
      </c>
      <c r="BH860" t="s">
        <v>74</v>
      </c>
      <c r="BI860">
        <v>19</v>
      </c>
      <c r="BJ860" t="s">
        <v>8647</v>
      </c>
      <c r="BK860" t="s">
        <v>98</v>
      </c>
      <c r="BL860" t="s">
        <v>8648</v>
      </c>
      <c r="BM860" t="s">
        <v>10373</v>
      </c>
      <c r="BN860" t="s">
        <v>74</v>
      </c>
      <c r="BO860" t="s">
        <v>123</v>
      </c>
      <c r="BP860" t="s">
        <v>74</v>
      </c>
      <c r="BQ860" t="s">
        <v>74</v>
      </c>
      <c r="BR860" t="s">
        <v>101</v>
      </c>
      <c r="BS860" t="s">
        <v>10374</v>
      </c>
      <c r="BT860" t="str">
        <f>HYPERLINK("https%3A%2F%2Fwww.webofscience.com%2Fwos%2Fwoscc%2Ffull-record%2FWOS:A1997YD46400007","View Full Record in Web of Science")</f>
        <v>View Full Record in Web of Science</v>
      </c>
    </row>
    <row r="861" spans="1:72" x14ac:dyDescent="0.15">
      <c r="A861" t="s">
        <v>72</v>
      </c>
      <c r="B861" t="s">
        <v>10375</v>
      </c>
      <c r="C861" t="s">
        <v>74</v>
      </c>
      <c r="D861" t="s">
        <v>74</v>
      </c>
      <c r="E861" t="s">
        <v>74</v>
      </c>
      <c r="F861" t="s">
        <v>10375</v>
      </c>
      <c r="G861" t="s">
        <v>74</v>
      </c>
      <c r="H861" t="s">
        <v>74</v>
      </c>
      <c r="I861" t="s">
        <v>10376</v>
      </c>
      <c r="J861" t="s">
        <v>784</v>
      </c>
      <c r="K861" t="s">
        <v>74</v>
      </c>
      <c r="L861" t="s">
        <v>74</v>
      </c>
      <c r="M861" t="s">
        <v>77</v>
      </c>
      <c r="N861" t="s">
        <v>78</v>
      </c>
      <c r="O861" t="s">
        <v>74</v>
      </c>
      <c r="P861" t="s">
        <v>74</v>
      </c>
      <c r="Q861" t="s">
        <v>74</v>
      </c>
      <c r="R861" t="s">
        <v>74</v>
      </c>
      <c r="S861" t="s">
        <v>74</v>
      </c>
      <c r="T861" t="s">
        <v>74</v>
      </c>
      <c r="U861" t="s">
        <v>10377</v>
      </c>
      <c r="V861" t="s">
        <v>10378</v>
      </c>
      <c r="W861" t="s">
        <v>10379</v>
      </c>
      <c r="X861" t="s">
        <v>2221</v>
      </c>
      <c r="Y861" t="s">
        <v>74</v>
      </c>
      <c r="Z861" t="s">
        <v>74</v>
      </c>
      <c r="AA861" t="s">
        <v>10380</v>
      </c>
      <c r="AB861" t="s">
        <v>10381</v>
      </c>
      <c r="AC861" t="s">
        <v>74</v>
      </c>
      <c r="AD861" t="s">
        <v>74</v>
      </c>
      <c r="AE861" t="s">
        <v>74</v>
      </c>
      <c r="AF861" t="s">
        <v>74</v>
      </c>
      <c r="AG861">
        <v>42</v>
      </c>
      <c r="AH861">
        <v>19</v>
      </c>
      <c r="AI861">
        <v>20</v>
      </c>
      <c r="AJ861">
        <v>0</v>
      </c>
      <c r="AK861">
        <v>10</v>
      </c>
      <c r="AL861" t="s">
        <v>793</v>
      </c>
      <c r="AM861" t="s">
        <v>794</v>
      </c>
      <c r="AN861" t="s">
        <v>8685</v>
      </c>
      <c r="AO861" t="s">
        <v>796</v>
      </c>
      <c r="AP861" t="s">
        <v>74</v>
      </c>
      <c r="AQ861" t="s">
        <v>74</v>
      </c>
      <c r="AR861" t="s">
        <v>797</v>
      </c>
      <c r="AS861" t="s">
        <v>798</v>
      </c>
      <c r="AT861" t="s">
        <v>9908</v>
      </c>
      <c r="AU861">
        <v>1997</v>
      </c>
      <c r="AV861">
        <v>32</v>
      </c>
      <c r="AW861">
        <v>5</v>
      </c>
      <c r="AX861" t="s">
        <v>74</v>
      </c>
      <c r="AY861" t="s">
        <v>74</v>
      </c>
      <c r="AZ861" t="s">
        <v>74</v>
      </c>
      <c r="BA861" t="s">
        <v>74</v>
      </c>
      <c r="BB861">
        <v>671</v>
      </c>
      <c r="BC861">
        <v>678</v>
      </c>
      <c r="BD861" t="s">
        <v>74</v>
      </c>
      <c r="BE861" t="s">
        <v>10382</v>
      </c>
      <c r="BF861" t="str">
        <f>HYPERLINK("http://dx.doi.org/10.1111/j.1945-5100.1997.tb01551.x","http://dx.doi.org/10.1111/j.1945-5100.1997.tb01551.x")</f>
        <v>http://dx.doi.org/10.1111/j.1945-5100.1997.tb01551.x</v>
      </c>
      <c r="BG861" t="s">
        <v>74</v>
      </c>
      <c r="BH861" t="s">
        <v>74</v>
      </c>
      <c r="BI861">
        <v>8</v>
      </c>
      <c r="BJ861" t="s">
        <v>143</v>
      </c>
      <c r="BK861" t="s">
        <v>98</v>
      </c>
      <c r="BL861" t="s">
        <v>143</v>
      </c>
      <c r="BM861" t="s">
        <v>10383</v>
      </c>
      <c r="BN861" t="s">
        <v>74</v>
      </c>
      <c r="BO861" t="s">
        <v>74</v>
      </c>
      <c r="BP861" t="s">
        <v>74</v>
      </c>
      <c r="BQ861" t="s">
        <v>74</v>
      </c>
      <c r="BR861" t="s">
        <v>101</v>
      </c>
      <c r="BS861" t="s">
        <v>10384</v>
      </c>
      <c r="BT861" t="str">
        <f>HYPERLINK("https%3A%2F%2Fwww.webofscience.com%2Fwos%2Fwoscc%2Ffull-record%2FWOS:A1997XX82800008","View Full Record in Web of Science")</f>
        <v>View Full Record in Web of Science</v>
      </c>
    </row>
    <row r="862" spans="1:72" x14ac:dyDescent="0.15">
      <c r="A862" t="s">
        <v>72</v>
      </c>
      <c r="B862" t="s">
        <v>10385</v>
      </c>
      <c r="C862" t="s">
        <v>74</v>
      </c>
      <c r="D862" t="s">
        <v>74</v>
      </c>
      <c r="E862" t="s">
        <v>74</v>
      </c>
      <c r="F862" t="s">
        <v>10385</v>
      </c>
      <c r="G862" t="s">
        <v>74</v>
      </c>
      <c r="H862" t="s">
        <v>74</v>
      </c>
      <c r="I862" t="s">
        <v>10386</v>
      </c>
      <c r="J862" t="s">
        <v>10387</v>
      </c>
      <c r="K862" t="s">
        <v>74</v>
      </c>
      <c r="L862" t="s">
        <v>74</v>
      </c>
      <c r="M862" t="s">
        <v>77</v>
      </c>
      <c r="N862" t="s">
        <v>78</v>
      </c>
      <c r="O862" t="s">
        <v>74</v>
      </c>
      <c r="P862" t="s">
        <v>74</v>
      </c>
      <c r="Q862" t="s">
        <v>74</v>
      </c>
      <c r="R862" t="s">
        <v>74</v>
      </c>
      <c r="S862" t="s">
        <v>74</v>
      </c>
      <c r="T862" t="s">
        <v>74</v>
      </c>
      <c r="U862" t="s">
        <v>10388</v>
      </c>
      <c r="V862" t="s">
        <v>10389</v>
      </c>
      <c r="W862" t="s">
        <v>10390</v>
      </c>
      <c r="X862" t="s">
        <v>10391</v>
      </c>
      <c r="Y862" t="s">
        <v>10392</v>
      </c>
      <c r="Z862" t="s">
        <v>74</v>
      </c>
      <c r="AA862" t="s">
        <v>74</v>
      </c>
      <c r="AB862" t="s">
        <v>74</v>
      </c>
      <c r="AC862" t="s">
        <v>74</v>
      </c>
      <c r="AD862" t="s">
        <v>74</v>
      </c>
      <c r="AE862" t="s">
        <v>74</v>
      </c>
      <c r="AF862" t="s">
        <v>74</v>
      </c>
      <c r="AG862">
        <v>48</v>
      </c>
      <c r="AH862">
        <v>20</v>
      </c>
      <c r="AI862">
        <v>25</v>
      </c>
      <c r="AJ862">
        <v>0</v>
      </c>
      <c r="AK862">
        <v>5</v>
      </c>
      <c r="AL862" t="s">
        <v>10393</v>
      </c>
      <c r="AM862" t="s">
        <v>813</v>
      </c>
      <c r="AN862" t="s">
        <v>10394</v>
      </c>
      <c r="AO862" t="s">
        <v>10395</v>
      </c>
      <c r="AP862" t="s">
        <v>74</v>
      </c>
      <c r="AQ862" t="s">
        <v>74</v>
      </c>
      <c r="AR862" t="s">
        <v>10396</v>
      </c>
      <c r="AS862" t="s">
        <v>10397</v>
      </c>
      <c r="AT862" t="s">
        <v>9908</v>
      </c>
      <c r="AU862">
        <v>1997</v>
      </c>
      <c r="AV862">
        <v>6</v>
      </c>
      <c r="AW862">
        <v>3</v>
      </c>
      <c r="AX862" t="s">
        <v>74</v>
      </c>
      <c r="AY862" t="s">
        <v>74</v>
      </c>
      <c r="AZ862" t="s">
        <v>74</v>
      </c>
      <c r="BA862" t="s">
        <v>74</v>
      </c>
      <c r="BB862">
        <v>207</v>
      </c>
      <c r="BC862">
        <v>216</v>
      </c>
      <c r="BD862" t="s">
        <v>74</v>
      </c>
      <c r="BE862" t="s">
        <v>74</v>
      </c>
      <c r="BF862" t="s">
        <v>74</v>
      </c>
      <c r="BG862" t="s">
        <v>74</v>
      </c>
      <c r="BH862" t="s">
        <v>74</v>
      </c>
      <c r="BI862">
        <v>10</v>
      </c>
      <c r="BJ862" t="s">
        <v>5248</v>
      </c>
      <c r="BK862" t="s">
        <v>98</v>
      </c>
      <c r="BL862" t="s">
        <v>5248</v>
      </c>
      <c r="BM862" t="s">
        <v>10398</v>
      </c>
      <c r="BN862">
        <v>9284559</v>
      </c>
      <c r="BO862" t="s">
        <v>74</v>
      </c>
      <c r="BP862" t="s">
        <v>74</v>
      </c>
      <c r="BQ862" t="s">
        <v>74</v>
      </c>
      <c r="BR862" t="s">
        <v>101</v>
      </c>
      <c r="BS862" t="s">
        <v>10399</v>
      </c>
      <c r="BT862" t="str">
        <f>HYPERLINK("https%3A%2F%2Fwww.webofscience.com%2Fwos%2Fwoscc%2Ffull-record%2FWOS:A1997XT50600007","View Full Record in Web of Science")</f>
        <v>View Full Record in Web of Science</v>
      </c>
    </row>
    <row r="863" spans="1:72" x14ac:dyDescent="0.15">
      <c r="A863" t="s">
        <v>72</v>
      </c>
      <c r="B863" t="s">
        <v>10400</v>
      </c>
      <c r="C863" t="s">
        <v>74</v>
      </c>
      <c r="D863" t="s">
        <v>74</v>
      </c>
      <c r="E863" t="s">
        <v>74</v>
      </c>
      <c r="F863" t="s">
        <v>10400</v>
      </c>
      <c r="G863" t="s">
        <v>74</v>
      </c>
      <c r="H863" t="s">
        <v>74</v>
      </c>
      <c r="I863" t="s">
        <v>10401</v>
      </c>
      <c r="J863" t="s">
        <v>10402</v>
      </c>
      <c r="K863" t="s">
        <v>74</v>
      </c>
      <c r="L863" t="s">
        <v>74</v>
      </c>
      <c r="M863" t="s">
        <v>77</v>
      </c>
      <c r="N863" t="s">
        <v>78</v>
      </c>
      <c r="O863" t="s">
        <v>74</v>
      </c>
      <c r="P863" t="s">
        <v>74</v>
      </c>
      <c r="Q863" t="s">
        <v>74</v>
      </c>
      <c r="R863" t="s">
        <v>74</v>
      </c>
      <c r="S863" t="s">
        <v>74</v>
      </c>
      <c r="T863" t="s">
        <v>10403</v>
      </c>
      <c r="U863" t="s">
        <v>10404</v>
      </c>
      <c r="V863" t="s">
        <v>10405</v>
      </c>
      <c r="W863" t="s">
        <v>10406</v>
      </c>
      <c r="X863" t="s">
        <v>10407</v>
      </c>
      <c r="Y863" t="s">
        <v>10408</v>
      </c>
      <c r="Z863" t="s">
        <v>74</v>
      </c>
      <c r="AA863" t="s">
        <v>74</v>
      </c>
      <c r="AB863" t="s">
        <v>74</v>
      </c>
      <c r="AC863" t="s">
        <v>74</v>
      </c>
      <c r="AD863" t="s">
        <v>74</v>
      </c>
      <c r="AE863" t="s">
        <v>74</v>
      </c>
      <c r="AF863" t="s">
        <v>74</v>
      </c>
      <c r="AG863">
        <v>28</v>
      </c>
      <c r="AH863">
        <v>14</v>
      </c>
      <c r="AI863">
        <v>22</v>
      </c>
      <c r="AJ863">
        <v>0</v>
      </c>
      <c r="AK863">
        <v>10</v>
      </c>
      <c r="AL863" t="s">
        <v>10409</v>
      </c>
      <c r="AM863" t="s">
        <v>10410</v>
      </c>
      <c r="AN863" t="s">
        <v>10411</v>
      </c>
      <c r="AO863" t="s">
        <v>10412</v>
      </c>
      <c r="AP863" t="s">
        <v>74</v>
      </c>
      <c r="AQ863" t="s">
        <v>74</v>
      </c>
      <c r="AR863" t="s">
        <v>10402</v>
      </c>
      <c r="AS863" t="s">
        <v>10413</v>
      </c>
      <c r="AT863" t="s">
        <v>9891</v>
      </c>
      <c r="AU863">
        <v>1997</v>
      </c>
      <c r="AV863">
        <v>89</v>
      </c>
      <c r="AW863">
        <v>5</v>
      </c>
      <c r="AX863" t="s">
        <v>74</v>
      </c>
      <c r="AY863" t="s">
        <v>74</v>
      </c>
      <c r="AZ863" t="s">
        <v>74</v>
      </c>
      <c r="BA863" t="s">
        <v>74</v>
      </c>
      <c r="BB863">
        <v>706</v>
      </c>
      <c r="BC863">
        <v>711</v>
      </c>
      <c r="BD863" t="s">
        <v>74</v>
      </c>
      <c r="BE863" t="s">
        <v>10414</v>
      </c>
      <c r="BF863" t="str">
        <f>HYPERLINK("http://dx.doi.org/10.2307/3761126","http://dx.doi.org/10.2307/3761126")</f>
        <v>http://dx.doi.org/10.2307/3761126</v>
      </c>
      <c r="BG863" t="s">
        <v>74</v>
      </c>
      <c r="BH863" t="s">
        <v>74</v>
      </c>
      <c r="BI863">
        <v>6</v>
      </c>
      <c r="BJ863" t="s">
        <v>10415</v>
      </c>
      <c r="BK863" t="s">
        <v>98</v>
      </c>
      <c r="BL863" t="s">
        <v>10415</v>
      </c>
      <c r="BM863" t="s">
        <v>10416</v>
      </c>
      <c r="BN863" t="s">
        <v>74</v>
      </c>
      <c r="BO863" t="s">
        <v>74</v>
      </c>
      <c r="BP863" t="s">
        <v>74</v>
      </c>
      <c r="BQ863" t="s">
        <v>74</v>
      </c>
      <c r="BR863" t="s">
        <v>101</v>
      </c>
      <c r="BS863" t="s">
        <v>10417</v>
      </c>
      <c r="BT863" t="str">
        <f>HYPERLINK("https%3A%2F%2Fwww.webofscience.com%2Fwos%2Fwoscc%2Ffull-record%2FWOS:A1997YA88900003","View Full Record in Web of Science")</f>
        <v>View Full Record in Web of Science</v>
      </c>
    </row>
    <row r="864" spans="1:72" x14ac:dyDescent="0.15">
      <c r="A864" t="s">
        <v>72</v>
      </c>
      <c r="B864" t="s">
        <v>2656</v>
      </c>
      <c r="C864" t="s">
        <v>74</v>
      </c>
      <c r="D864" t="s">
        <v>74</v>
      </c>
      <c r="E864" t="s">
        <v>74</v>
      </c>
      <c r="F864" t="s">
        <v>2656</v>
      </c>
      <c r="G864" t="s">
        <v>74</v>
      </c>
      <c r="H864" t="s">
        <v>74</v>
      </c>
      <c r="I864" t="s">
        <v>10418</v>
      </c>
      <c r="J864" t="s">
        <v>10419</v>
      </c>
      <c r="K864" t="s">
        <v>74</v>
      </c>
      <c r="L864" t="s">
        <v>74</v>
      </c>
      <c r="M864" t="s">
        <v>77</v>
      </c>
      <c r="N864" t="s">
        <v>78</v>
      </c>
      <c r="O864" t="s">
        <v>74</v>
      </c>
      <c r="P864" t="s">
        <v>74</v>
      </c>
      <c r="Q864" t="s">
        <v>74</v>
      </c>
      <c r="R864" t="s">
        <v>74</v>
      </c>
      <c r="S864" t="s">
        <v>74</v>
      </c>
      <c r="T864" t="s">
        <v>10420</v>
      </c>
      <c r="U864" t="s">
        <v>10421</v>
      </c>
      <c r="V864" t="s">
        <v>10422</v>
      </c>
      <c r="W864" t="s">
        <v>74</v>
      </c>
      <c r="X864" t="s">
        <v>74</v>
      </c>
      <c r="Y864" t="s">
        <v>10423</v>
      </c>
      <c r="Z864" t="s">
        <v>74</v>
      </c>
      <c r="AA864" t="s">
        <v>1486</v>
      </c>
      <c r="AB864" t="s">
        <v>1487</v>
      </c>
      <c r="AC864" t="s">
        <v>74</v>
      </c>
      <c r="AD864" t="s">
        <v>74</v>
      </c>
      <c r="AE864" t="s">
        <v>74</v>
      </c>
      <c r="AF864" t="s">
        <v>74</v>
      </c>
      <c r="AG864">
        <v>35</v>
      </c>
      <c r="AH864">
        <v>27</v>
      </c>
      <c r="AI864">
        <v>33</v>
      </c>
      <c r="AJ864">
        <v>0</v>
      </c>
      <c r="AK864">
        <v>2</v>
      </c>
      <c r="AL864" t="s">
        <v>7740</v>
      </c>
      <c r="AM864" t="s">
        <v>7741</v>
      </c>
      <c r="AN864" t="s">
        <v>7742</v>
      </c>
      <c r="AO864" t="s">
        <v>10424</v>
      </c>
      <c r="AP864" t="s">
        <v>74</v>
      </c>
      <c r="AQ864" t="s">
        <v>74</v>
      </c>
      <c r="AR864" t="s">
        <v>10425</v>
      </c>
      <c r="AS864" t="s">
        <v>10426</v>
      </c>
      <c r="AT864" t="s">
        <v>9908</v>
      </c>
      <c r="AU864">
        <v>1997</v>
      </c>
      <c r="AV864">
        <v>40</v>
      </c>
      <c r="AW864">
        <v>3</v>
      </c>
      <c r="AX864" t="s">
        <v>74</v>
      </c>
      <c r="AY864" t="s">
        <v>74</v>
      </c>
      <c r="AZ864" t="s">
        <v>74</v>
      </c>
      <c r="BA864" t="s">
        <v>74</v>
      </c>
      <c r="BB864">
        <v>315</v>
      </c>
      <c r="BC864">
        <v>323</v>
      </c>
      <c r="BD864" t="s">
        <v>74</v>
      </c>
      <c r="BE864" t="s">
        <v>10427</v>
      </c>
      <c r="BF864" t="str">
        <f>HYPERLINK("http://dx.doi.org/10.1080/00288306.1997.9514764","http://dx.doi.org/10.1080/00288306.1997.9514764")</f>
        <v>http://dx.doi.org/10.1080/00288306.1997.9514764</v>
      </c>
      <c r="BG864" t="s">
        <v>74</v>
      </c>
      <c r="BH864" t="s">
        <v>74</v>
      </c>
      <c r="BI864">
        <v>9</v>
      </c>
      <c r="BJ864" t="s">
        <v>10428</v>
      </c>
      <c r="BK864" t="s">
        <v>98</v>
      </c>
      <c r="BL864" t="s">
        <v>471</v>
      </c>
      <c r="BM864" t="s">
        <v>10429</v>
      </c>
      <c r="BN864" t="s">
        <v>74</v>
      </c>
      <c r="BO864" t="s">
        <v>74</v>
      </c>
      <c r="BP864" t="s">
        <v>74</v>
      </c>
      <c r="BQ864" t="s">
        <v>74</v>
      </c>
      <c r="BR864" t="s">
        <v>101</v>
      </c>
      <c r="BS864" t="s">
        <v>10430</v>
      </c>
      <c r="BT864" t="str">
        <f>HYPERLINK("https%3A%2F%2Fwww.webofscience.com%2Fwos%2Fwoscc%2Ffull-record%2FWOS:A1997YA20700006","View Full Record in Web of Science")</f>
        <v>View Full Record in Web of Science</v>
      </c>
    </row>
    <row r="865" spans="1:72" x14ac:dyDescent="0.15">
      <c r="A865" t="s">
        <v>72</v>
      </c>
      <c r="B865" t="s">
        <v>10431</v>
      </c>
      <c r="C865" t="s">
        <v>74</v>
      </c>
      <c r="D865" t="s">
        <v>74</v>
      </c>
      <c r="E865" t="s">
        <v>74</v>
      </c>
      <c r="F865" t="s">
        <v>10431</v>
      </c>
      <c r="G865" t="s">
        <v>74</v>
      </c>
      <c r="H865" t="s">
        <v>74</v>
      </c>
      <c r="I865" t="s">
        <v>10432</v>
      </c>
      <c r="J865" t="s">
        <v>8748</v>
      </c>
      <c r="K865" t="s">
        <v>74</v>
      </c>
      <c r="L865" t="s">
        <v>74</v>
      </c>
      <c r="M865" t="s">
        <v>4428</v>
      </c>
      <c r="N865" t="s">
        <v>78</v>
      </c>
      <c r="O865" t="s">
        <v>74</v>
      </c>
      <c r="P865" t="s">
        <v>74</v>
      </c>
      <c r="Q865" t="s">
        <v>74</v>
      </c>
      <c r="R865" t="s">
        <v>74</v>
      </c>
      <c r="S865" t="s">
        <v>74</v>
      </c>
      <c r="T865" t="s">
        <v>74</v>
      </c>
      <c r="U865" t="s">
        <v>74</v>
      </c>
      <c r="V865" t="s">
        <v>10433</v>
      </c>
      <c r="W865" t="s">
        <v>10434</v>
      </c>
      <c r="X865" t="s">
        <v>10435</v>
      </c>
      <c r="Y865" t="s">
        <v>10436</v>
      </c>
      <c r="Z865" t="s">
        <v>74</v>
      </c>
      <c r="AA865" t="s">
        <v>74</v>
      </c>
      <c r="AB865" t="s">
        <v>74</v>
      </c>
      <c r="AC865" t="s">
        <v>74</v>
      </c>
      <c r="AD865" t="s">
        <v>74</v>
      </c>
      <c r="AE865" t="s">
        <v>74</v>
      </c>
      <c r="AF865" t="s">
        <v>74</v>
      </c>
      <c r="AG865">
        <v>7</v>
      </c>
      <c r="AH865">
        <v>1</v>
      </c>
      <c r="AI865">
        <v>1</v>
      </c>
      <c r="AJ865">
        <v>0</v>
      </c>
      <c r="AK865">
        <v>0</v>
      </c>
      <c r="AL865" t="s">
        <v>4431</v>
      </c>
      <c r="AM865" t="s">
        <v>4432</v>
      </c>
      <c r="AN865" t="s">
        <v>4433</v>
      </c>
      <c r="AO865" t="s">
        <v>8754</v>
      </c>
      <c r="AP865" t="s">
        <v>74</v>
      </c>
      <c r="AQ865" t="s">
        <v>74</v>
      </c>
      <c r="AR865" t="s">
        <v>8755</v>
      </c>
      <c r="AS865" t="s">
        <v>8756</v>
      </c>
      <c r="AT865" t="s">
        <v>9891</v>
      </c>
      <c r="AU865">
        <v>1997</v>
      </c>
      <c r="AV865">
        <v>37</v>
      </c>
      <c r="AW865">
        <v>5</v>
      </c>
      <c r="AX865" t="s">
        <v>74</v>
      </c>
      <c r="AY865" t="s">
        <v>74</v>
      </c>
      <c r="AZ865" t="s">
        <v>74</v>
      </c>
      <c r="BA865" t="s">
        <v>74</v>
      </c>
      <c r="BB865">
        <v>645</v>
      </c>
      <c r="BC865">
        <v>653</v>
      </c>
      <c r="BD865" t="s">
        <v>74</v>
      </c>
      <c r="BE865" t="s">
        <v>74</v>
      </c>
      <c r="BF865" t="s">
        <v>74</v>
      </c>
      <c r="BG865" t="s">
        <v>74</v>
      </c>
      <c r="BH865" t="s">
        <v>74</v>
      </c>
      <c r="BI865">
        <v>9</v>
      </c>
      <c r="BJ865" t="s">
        <v>97</v>
      </c>
      <c r="BK865" t="s">
        <v>98</v>
      </c>
      <c r="BL865" t="s">
        <v>97</v>
      </c>
      <c r="BM865" t="s">
        <v>10437</v>
      </c>
      <c r="BN865" t="s">
        <v>74</v>
      </c>
      <c r="BO865" t="s">
        <v>74</v>
      </c>
      <c r="BP865" t="s">
        <v>74</v>
      </c>
      <c r="BQ865" t="s">
        <v>74</v>
      </c>
      <c r="BR865" t="s">
        <v>101</v>
      </c>
      <c r="BS865" t="s">
        <v>10438</v>
      </c>
      <c r="BT865" t="str">
        <f>HYPERLINK("https%3A%2F%2Fwww.webofscience.com%2Fwos%2Fwoscc%2Ffull-record%2FWOS:000060362500001","View Full Record in Web of Science")</f>
        <v>View Full Record in Web of Science</v>
      </c>
    </row>
    <row r="866" spans="1:72" x14ac:dyDescent="0.15">
      <c r="A866" t="s">
        <v>72</v>
      </c>
      <c r="B866" t="s">
        <v>10439</v>
      </c>
      <c r="C866" t="s">
        <v>74</v>
      </c>
      <c r="D866" t="s">
        <v>74</v>
      </c>
      <c r="E866" t="s">
        <v>74</v>
      </c>
      <c r="F866" t="s">
        <v>10439</v>
      </c>
      <c r="G866" t="s">
        <v>74</v>
      </c>
      <c r="H866" t="s">
        <v>74</v>
      </c>
      <c r="I866" t="s">
        <v>10440</v>
      </c>
      <c r="J866" t="s">
        <v>6957</v>
      </c>
      <c r="K866" t="s">
        <v>74</v>
      </c>
      <c r="L866" t="s">
        <v>74</v>
      </c>
      <c r="M866" t="s">
        <v>77</v>
      </c>
      <c r="N866" t="s">
        <v>78</v>
      </c>
      <c r="O866" t="s">
        <v>74</v>
      </c>
      <c r="P866" t="s">
        <v>74</v>
      </c>
      <c r="Q866" t="s">
        <v>74</v>
      </c>
      <c r="R866" t="s">
        <v>74</v>
      </c>
      <c r="S866" t="s">
        <v>74</v>
      </c>
      <c r="T866" t="s">
        <v>10441</v>
      </c>
      <c r="U866" t="s">
        <v>10442</v>
      </c>
      <c r="V866" t="s">
        <v>10443</v>
      </c>
      <c r="W866" t="s">
        <v>10444</v>
      </c>
      <c r="X866" t="s">
        <v>10445</v>
      </c>
      <c r="Y866" t="s">
        <v>10446</v>
      </c>
      <c r="Z866" t="s">
        <v>74</v>
      </c>
      <c r="AA866" t="s">
        <v>74</v>
      </c>
      <c r="AB866" t="s">
        <v>74</v>
      </c>
      <c r="AC866" t="s">
        <v>74</v>
      </c>
      <c r="AD866" t="s">
        <v>74</v>
      </c>
      <c r="AE866" t="s">
        <v>74</v>
      </c>
      <c r="AF866" t="s">
        <v>74</v>
      </c>
      <c r="AG866">
        <v>65</v>
      </c>
      <c r="AH866">
        <v>66</v>
      </c>
      <c r="AI866">
        <v>68</v>
      </c>
      <c r="AJ866">
        <v>0</v>
      </c>
      <c r="AK866">
        <v>4</v>
      </c>
      <c r="AL866" t="s">
        <v>1029</v>
      </c>
      <c r="AM866" t="s">
        <v>1030</v>
      </c>
      <c r="AN866" t="s">
        <v>1031</v>
      </c>
      <c r="AO866" t="s">
        <v>6964</v>
      </c>
      <c r="AP866" t="s">
        <v>74</v>
      </c>
      <c r="AQ866" t="s">
        <v>74</v>
      </c>
      <c r="AR866" t="s">
        <v>6965</v>
      </c>
      <c r="AS866" t="s">
        <v>6966</v>
      </c>
      <c r="AT866" t="s">
        <v>9908</v>
      </c>
      <c r="AU866">
        <v>1997</v>
      </c>
      <c r="AV866">
        <v>133</v>
      </c>
      <c r="AW866" t="s">
        <v>4809</v>
      </c>
      <c r="AX866" t="s">
        <v>74</v>
      </c>
      <c r="AY866" t="s">
        <v>74</v>
      </c>
      <c r="AZ866" t="s">
        <v>74</v>
      </c>
      <c r="BA866" t="s">
        <v>74</v>
      </c>
      <c r="BB866">
        <v>1</v>
      </c>
      <c r="BC866">
        <v>25</v>
      </c>
      <c r="BD866" t="s">
        <v>74</v>
      </c>
      <c r="BE866" t="s">
        <v>10447</v>
      </c>
      <c r="BF866" t="str">
        <f>HYPERLINK("http://dx.doi.org/10.1016/S0031-0182(97)00028-X","http://dx.doi.org/10.1016/S0031-0182(97)00028-X")</f>
        <v>http://dx.doi.org/10.1016/S0031-0182(97)00028-X</v>
      </c>
      <c r="BG866" t="s">
        <v>74</v>
      </c>
      <c r="BH866" t="s">
        <v>74</v>
      </c>
      <c r="BI866">
        <v>25</v>
      </c>
      <c r="BJ866" t="s">
        <v>6968</v>
      </c>
      <c r="BK866" t="s">
        <v>98</v>
      </c>
      <c r="BL866" t="s">
        <v>6969</v>
      </c>
      <c r="BM866" t="s">
        <v>10448</v>
      </c>
      <c r="BN866" t="s">
        <v>74</v>
      </c>
      <c r="BO866" t="s">
        <v>74</v>
      </c>
      <c r="BP866" t="s">
        <v>74</v>
      </c>
      <c r="BQ866" t="s">
        <v>74</v>
      </c>
      <c r="BR866" t="s">
        <v>101</v>
      </c>
      <c r="BS866" t="s">
        <v>10449</v>
      </c>
      <c r="BT866" t="str">
        <f>HYPERLINK("https%3A%2F%2Fwww.webofscience.com%2Fwos%2Fwoscc%2Ffull-record%2FWOS:A1997YB83500001","View Full Record in Web of Science")</f>
        <v>View Full Record in Web of Science</v>
      </c>
    </row>
    <row r="867" spans="1:72" x14ac:dyDescent="0.15">
      <c r="A867" t="s">
        <v>72</v>
      </c>
      <c r="B867" t="s">
        <v>10450</v>
      </c>
      <c r="C867" t="s">
        <v>74</v>
      </c>
      <c r="D867" t="s">
        <v>74</v>
      </c>
      <c r="E867" t="s">
        <v>74</v>
      </c>
      <c r="F867" t="s">
        <v>10451</v>
      </c>
      <c r="G867" t="s">
        <v>74</v>
      </c>
      <c r="H867" t="s">
        <v>74</v>
      </c>
      <c r="I867" t="s">
        <v>10452</v>
      </c>
      <c r="J867" t="s">
        <v>10453</v>
      </c>
      <c r="K867" t="s">
        <v>74</v>
      </c>
      <c r="L867" t="s">
        <v>74</v>
      </c>
      <c r="M867" t="s">
        <v>77</v>
      </c>
      <c r="N867" t="s">
        <v>78</v>
      </c>
      <c r="O867" t="s">
        <v>74</v>
      </c>
      <c r="P867" t="s">
        <v>74</v>
      </c>
      <c r="Q867" t="s">
        <v>74</v>
      </c>
      <c r="R867" t="s">
        <v>74</v>
      </c>
      <c r="S867" t="s">
        <v>74</v>
      </c>
      <c r="T867" t="s">
        <v>74</v>
      </c>
      <c r="U867" t="s">
        <v>74</v>
      </c>
      <c r="V867" t="s">
        <v>10454</v>
      </c>
      <c r="W867" t="s">
        <v>10455</v>
      </c>
      <c r="X867" t="s">
        <v>10456</v>
      </c>
      <c r="Y867" t="s">
        <v>10457</v>
      </c>
      <c r="Z867" t="s">
        <v>10458</v>
      </c>
      <c r="AA867" t="s">
        <v>10459</v>
      </c>
      <c r="AB867" t="s">
        <v>10460</v>
      </c>
      <c r="AC867" t="s">
        <v>74</v>
      </c>
      <c r="AD867" t="s">
        <v>74</v>
      </c>
      <c r="AE867" t="s">
        <v>74</v>
      </c>
      <c r="AF867" t="s">
        <v>74</v>
      </c>
      <c r="AG867">
        <v>44</v>
      </c>
      <c r="AH867">
        <v>34</v>
      </c>
      <c r="AI867">
        <v>38</v>
      </c>
      <c r="AJ867">
        <v>0</v>
      </c>
      <c r="AK867">
        <v>14</v>
      </c>
      <c r="AL867" t="s">
        <v>10461</v>
      </c>
      <c r="AM867" t="s">
        <v>590</v>
      </c>
      <c r="AN867" t="s">
        <v>10462</v>
      </c>
      <c r="AO867" t="s">
        <v>10463</v>
      </c>
      <c r="AP867" t="s">
        <v>74</v>
      </c>
      <c r="AQ867" t="s">
        <v>74</v>
      </c>
      <c r="AR867" t="s">
        <v>10453</v>
      </c>
      <c r="AS867" t="s">
        <v>10464</v>
      </c>
      <c r="AT867" t="s">
        <v>9908</v>
      </c>
      <c r="AU867">
        <v>1997</v>
      </c>
      <c r="AV867">
        <v>36</v>
      </c>
      <c r="AW867">
        <v>5</v>
      </c>
      <c r="AX867" t="s">
        <v>74</v>
      </c>
      <c r="AY867" t="s">
        <v>74</v>
      </c>
      <c r="AZ867" t="s">
        <v>74</v>
      </c>
      <c r="BA867" t="s">
        <v>74</v>
      </c>
      <c r="BB867">
        <v>395</v>
      </c>
      <c r="BC867">
        <v>405</v>
      </c>
      <c r="BD867" t="s">
        <v>74</v>
      </c>
      <c r="BE867" t="s">
        <v>10465</v>
      </c>
      <c r="BF867" t="str">
        <f>HYPERLINK("http://dx.doi.org/10.2216/i0031-8884-36-5-395.1","http://dx.doi.org/10.2216/i0031-8884-36-5-395.1")</f>
        <v>http://dx.doi.org/10.2216/i0031-8884-36-5-395.1</v>
      </c>
      <c r="BG867" t="s">
        <v>74</v>
      </c>
      <c r="BH867" t="s">
        <v>74</v>
      </c>
      <c r="BI867">
        <v>11</v>
      </c>
      <c r="BJ867" t="s">
        <v>1299</v>
      </c>
      <c r="BK867" t="s">
        <v>98</v>
      </c>
      <c r="BL867" t="s">
        <v>1299</v>
      </c>
      <c r="BM867" t="s">
        <v>10466</v>
      </c>
      <c r="BN867" t="s">
        <v>74</v>
      </c>
      <c r="BO867" t="s">
        <v>74</v>
      </c>
      <c r="BP867" t="s">
        <v>74</v>
      </c>
      <c r="BQ867" t="s">
        <v>74</v>
      </c>
      <c r="BR867" t="s">
        <v>101</v>
      </c>
      <c r="BS867" t="s">
        <v>10467</v>
      </c>
      <c r="BT867" t="str">
        <f>HYPERLINK("https%3A%2F%2Fwww.webofscience.com%2Fwos%2Fwoscc%2Ffull-record%2FWOS:000202957800008","View Full Record in Web of Science")</f>
        <v>View Full Record in Web of Science</v>
      </c>
    </row>
    <row r="868" spans="1:72" x14ac:dyDescent="0.15">
      <c r="A868" t="s">
        <v>72</v>
      </c>
      <c r="B868" t="s">
        <v>10209</v>
      </c>
      <c r="C868" t="s">
        <v>74</v>
      </c>
      <c r="D868" t="s">
        <v>74</v>
      </c>
      <c r="E868" t="s">
        <v>74</v>
      </c>
      <c r="F868" t="s">
        <v>10209</v>
      </c>
      <c r="G868" t="s">
        <v>74</v>
      </c>
      <c r="H868" t="s">
        <v>74</v>
      </c>
      <c r="I868" t="s">
        <v>10468</v>
      </c>
      <c r="J868" t="s">
        <v>888</v>
      </c>
      <c r="K868" t="s">
        <v>74</v>
      </c>
      <c r="L868" t="s">
        <v>74</v>
      </c>
      <c r="M868" t="s">
        <v>77</v>
      </c>
      <c r="N868" t="s">
        <v>78</v>
      </c>
      <c r="O868" t="s">
        <v>74</v>
      </c>
      <c r="P868" t="s">
        <v>74</v>
      </c>
      <c r="Q868" t="s">
        <v>74</v>
      </c>
      <c r="R868" t="s">
        <v>74</v>
      </c>
      <c r="S868" t="s">
        <v>74</v>
      </c>
      <c r="T868" t="s">
        <v>74</v>
      </c>
      <c r="U868" t="s">
        <v>10469</v>
      </c>
      <c r="V868" t="s">
        <v>10470</v>
      </c>
      <c r="W868" t="s">
        <v>10471</v>
      </c>
      <c r="X868" t="s">
        <v>8348</v>
      </c>
      <c r="Y868" t="s">
        <v>74</v>
      </c>
      <c r="Z868" t="s">
        <v>74</v>
      </c>
      <c r="AA868" t="s">
        <v>74</v>
      </c>
      <c r="AB868" t="s">
        <v>8350</v>
      </c>
      <c r="AC868" t="s">
        <v>74</v>
      </c>
      <c r="AD868" t="s">
        <v>74</v>
      </c>
      <c r="AE868" t="s">
        <v>74</v>
      </c>
      <c r="AF868" t="s">
        <v>74</v>
      </c>
      <c r="AG868">
        <v>21</v>
      </c>
      <c r="AH868">
        <v>41</v>
      </c>
      <c r="AI868">
        <v>43</v>
      </c>
      <c r="AJ868">
        <v>2</v>
      </c>
      <c r="AK868">
        <v>29</v>
      </c>
      <c r="AL868" t="s">
        <v>897</v>
      </c>
      <c r="AM868" t="s">
        <v>244</v>
      </c>
      <c r="AN868" t="s">
        <v>7783</v>
      </c>
      <c r="AO868" t="s">
        <v>899</v>
      </c>
      <c r="AP868" t="s">
        <v>74</v>
      </c>
      <c r="AQ868" t="s">
        <v>74</v>
      </c>
      <c r="AR868" t="s">
        <v>900</v>
      </c>
      <c r="AS868" t="s">
        <v>901</v>
      </c>
      <c r="AT868" t="s">
        <v>9908</v>
      </c>
      <c r="AU868">
        <v>1997</v>
      </c>
      <c r="AV868">
        <v>18</v>
      </c>
      <c r="AW868">
        <v>3</v>
      </c>
      <c r="AX868" t="s">
        <v>74</v>
      </c>
      <c r="AY868" t="s">
        <v>74</v>
      </c>
      <c r="AZ868" t="s">
        <v>74</v>
      </c>
      <c r="BA868" t="s">
        <v>74</v>
      </c>
      <c r="BB868">
        <v>161</v>
      </c>
      <c r="BC868">
        <v>165</v>
      </c>
      <c r="BD868" t="s">
        <v>74</v>
      </c>
      <c r="BE868" t="s">
        <v>10472</v>
      </c>
      <c r="BF868" t="str">
        <f>HYPERLINK("http://dx.doi.org/10.1007/s003000050172","http://dx.doi.org/10.1007/s003000050172")</f>
        <v>http://dx.doi.org/10.1007/s003000050172</v>
      </c>
      <c r="BG868" t="s">
        <v>74</v>
      </c>
      <c r="BH868" t="s">
        <v>74</v>
      </c>
      <c r="BI868">
        <v>5</v>
      </c>
      <c r="BJ868" t="s">
        <v>903</v>
      </c>
      <c r="BK868" t="s">
        <v>98</v>
      </c>
      <c r="BL868" t="s">
        <v>904</v>
      </c>
      <c r="BM868" t="s">
        <v>10473</v>
      </c>
      <c r="BN868" t="s">
        <v>74</v>
      </c>
      <c r="BO868" t="s">
        <v>74</v>
      </c>
      <c r="BP868" t="s">
        <v>74</v>
      </c>
      <c r="BQ868" t="s">
        <v>74</v>
      </c>
      <c r="BR868" t="s">
        <v>101</v>
      </c>
      <c r="BS868" t="s">
        <v>10474</v>
      </c>
      <c r="BT868" t="str">
        <f>HYPERLINK("https%3A%2F%2Fwww.webofscience.com%2Fwos%2Fwoscc%2Ffull-record%2FWOS:A1997XR39800001","View Full Record in Web of Science")</f>
        <v>View Full Record in Web of Science</v>
      </c>
    </row>
    <row r="869" spans="1:72" x14ac:dyDescent="0.15">
      <c r="A869" t="s">
        <v>72</v>
      </c>
      <c r="B869" t="s">
        <v>10475</v>
      </c>
      <c r="C869" t="s">
        <v>74</v>
      </c>
      <c r="D869" t="s">
        <v>74</v>
      </c>
      <c r="E869" t="s">
        <v>74</v>
      </c>
      <c r="F869" t="s">
        <v>10475</v>
      </c>
      <c r="G869" t="s">
        <v>74</v>
      </c>
      <c r="H869" t="s">
        <v>74</v>
      </c>
      <c r="I869" t="s">
        <v>10476</v>
      </c>
      <c r="J869" t="s">
        <v>888</v>
      </c>
      <c r="K869" t="s">
        <v>74</v>
      </c>
      <c r="L869" t="s">
        <v>74</v>
      </c>
      <c r="M869" t="s">
        <v>77</v>
      </c>
      <c r="N869" t="s">
        <v>78</v>
      </c>
      <c r="O869" t="s">
        <v>74</v>
      </c>
      <c r="P869" t="s">
        <v>74</v>
      </c>
      <c r="Q869" t="s">
        <v>74</v>
      </c>
      <c r="R869" t="s">
        <v>74</v>
      </c>
      <c r="S869" t="s">
        <v>74</v>
      </c>
      <c r="T869" t="s">
        <v>74</v>
      </c>
      <c r="U869" t="s">
        <v>10477</v>
      </c>
      <c r="V869" t="s">
        <v>10478</v>
      </c>
      <c r="W869" t="s">
        <v>74</v>
      </c>
      <c r="X869" t="s">
        <v>74</v>
      </c>
      <c r="Y869" t="s">
        <v>10479</v>
      </c>
      <c r="Z869" t="s">
        <v>74</v>
      </c>
      <c r="AA869" t="s">
        <v>74</v>
      </c>
      <c r="AB869" t="s">
        <v>74</v>
      </c>
      <c r="AC869" t="s">
        <v>74</v>
      </c>
      <c r="AD869" t="s">
        <v>74</v>
      </c>
      <c r="AE869" t="s">
        <v>74</v>
      </c>
      <c r="AF869" t="s">
        <v>74</v>
      </c>
      <c r="AG869">
        <v>32</v>
      </c>
      <c r="AH869">
        <v>14</v>
      </c>
      <c r="AI869">
        <v>14</v>
      </c>
      <c r="AJ869">
        <v>0</v>
      </c>
      <c r="AK869">
        <v>7</v>
      </c>
      <c r="AL869" t="s">
        <v>897</v>
      </c>
      <c r="AM869" t="s">
        <v>244</v>
      </c>
      <c r="AN869" t="s">
        <v>7783</v>
      </c>
      <c r="AO869" t="s">
        <v>899</v>
      </c>
      <c r="AP869" t="s">
        <v>74</v>
      </c>
      <c r="AQ869" t="s">
        <v>74</v>
      </c>
      <c r="AR869" t="s">
        <v>900</v>
      </c>
      <c r="AS869" t="s">
        <v>901</v>
      </c>
      <c r="AT869" t="s">
        <v>9908</v>
      </c>
      <c r="AU869">
        <v>1997</v>
      </c>
      <c r="AV869">
        <v>18</v>
      </c>
      <c r="AW869">
        <v>3</v>
      </c>
      <c r="AX869" t="s">
        <v>74</v>
      </c>
      <c r="AY869" t="s">
        <v>74</v>
      </c>
      <c r="AZ869" t="s">
        <v>74</v>
      </c>
      <c r="BA869" t="s">
        <v>74</v>
      </c>
      <c r="BB869">
        <v>166</v>
      </c>
      <c r="BC869">
        <v>171</v>
      </c>
      <c r="BD869" t="s">
        <v>74</v>
      </c>
      <c r="BE869" t="s">
        <v>10480</v>
      </c>
      <c r="BF869" t="str">
        <f>HYPERLINK("http://dx.doi.org/10.1007/s003000050173","http://dx.doi.org/10.1007/s003000050173")</f>
        <v>http://dx.doi.org/10.1007/s003000050173</v>
      </c>
      <c r="BG869" t="s">
        <v>74</v>
      </c>
      <c r="BH869" t="s">
        <v>74</v>
      </c>
      <c r="BI869">
        <v>6</v>
      </c>
      <c r="BJ869" t="s">
        <v>903</v>
      </c>
      <c r="BK869" t="s">
        <v>98</v>
      </c>
      <c r="BL869" t="s">
        <v>904</v>
      </c>
      <c r="BM869" t="s">
        <v>10473</v>
      </c>
      <c r="BN869" t="s">
        <v>74</v>
      </c>
      <c r="BO869" t="s">
        <v>74</v>
      </c>
      <c r="BP869" t="s">
        <v>74</v>
      </c>
      <c r="BQ869" t="s">
        <v>74</v>
      </c>
      <c r="BR869" t="s">
        <v>101</v>
      </c>
      <c r="BS869" t="s">
        <v>10481</v>
      </c>
      <c r="BT869" t="str">
        <f>HYPERLINK("https%3A%2F%2Fwww.webofscience.com%2Fwos%2Fwoscc%2Ffull-record%2FWOS:A1997XR39800002","View Full Record in Web of Science")</f>
        <v>View Full Record in Web of Science</v>
      </c>
    </row>
    <row r="870" spans="1:72" x14ac:dyDescent="0.15">
      <c r="A870" t="s">
        <v>72</v>
      </c>
      <c r="B870" t="s">
        <v>10482</v>
      </c>
      <c r="C870" t="s">
        <v>74</v>
      </c>
      <c r="D870" t="s">
        <v>74</v>
      </c>
      <c r="E870" t="s">
        <v>74</v>
      </c>
      <c r="F870" t="s">
        <v>10482</v>
      </c>
      <c r="G870" t="s">
        <v>74</v>
      </c>
      <c r="H870" t="s">
        <v>74</v>
      </c>
      <c r="I870" t="s">
        <v>10483</v>
      </c>
      <c r="J870" t="s">
        <v>888</v>
      </c>
      <c r="K870" t="s">
        <v>74</v>
      </c>
      <c r="L870" t="s">
        <v>74</v>
      </c>
      <c r="M870" t="s">
        <v>77</v>
      </c>
      <c r="N870" t="s">
        <v>78</v>
      </c>
      <c r="O870" t="s">
        <v>74</v>
      </c>
      <c r="P870" t="s">
        <v>74</v>
      </c>
      <c r="Q870" t="s">
        <v>74</v>
      </c>
      <c r="R870" t="s">
        <v>74</v>
      </c>
      <c r="S870" t="s">
        <v>74</v>
      </c>
      <c r="T870" t="s">
        <v>74</v>
      </c>
      <c r="U870" t="s">
        <v>10484</v>
      </c>
      <c r="V870" t="s">
        <v>10485</v>
      </c>
      <c r="W870" t="s">
        <v>10486</v>
      </c>
      <c r="X870" t="s">
        <v>322</v>
      </c>
      <c r="Y870" t="s">
        <v>10487</v>
      </c>
      <c r="Z870" t="s">
        <v>74</v>
      </c>
      <c r="AA870" t="s">
        <v>74</v>
      </c>
      <c r="AB870" t="s">
        <v>74</v>
      </c>
      <c r="AC870" t="s">
        <v>74</v>
      </c>
      <c r="AD870" t="s">
        <v>74</v>
      </c>
      <c r="AE870" t="s">
        <v>74</v>
      </c>
      <c r="AF870" t="s">
        <v>74</v>
      </c>
      <c r="AG870">
        <v>57</v>
      </c>
      <c r="AH870">
        <v>60</v>
      </c>
      <c r="AI870">
        <v>61</v>
      </c>
      <c r="AJ870">
        <v>0</v>
      </c>
      <c r="AK870">
        <v>5</v>
      </c>
      <c r="AL870" t="s">
        <v>897</v>
      </c>
      <c r="AM870" t="s">
        <v>244</v>
      </c>
      <c r="AN870" t="s">
        <v>7783</v>
      </c>
      <c r="AO870" t="s">
        <v>899</v>
      </c>
      <c r="AP870" t="s">
        <v>74</v>
      </c>
      <c r="AQ870" t="s">
        <v>74</v>
      </c>
      <c r="AR870" t="s">
        <v>900</v>
      </c>
      <c r="AS870" t="s">
        <v>901</v>
      </c>
      <c r="AT870" t="s">
        <v>9908</v>
      </c>
      <c r="AU870">
        <v>1997</v>
      </c>
      <c r="AV870">
        <v>18</v>
      </c>
      <c r="AW870">
        <v>3</v>
      </c>
      <c r="AX870" t="s">
        <v>74</v>
      </c>
      <c r="AY870" t="s">
        <v>74</v>
      </c>
      <c r="AZ870" t="s">
        <v>74</v>
      </c>
      <c r="BA870" t="s">
        <v>74</v>
      </c>
      <c r="BB870">
        <v>180</v>
      </c>
      <c r="BC870">
        <v>192</v>
      </c>
      <c r="BD870" t="s">
        <v>74</v>
      </c>
      <c r="BE870" t="s">
        <v>10488</v>
      </c>
      <c r="BF870" t="str">
        <f>HYPERLINK("http://dx.doi.org/10.1007/s003000050175","http://dx.doi.org/10.1007/s003000050175")</f>
        <v>http://dx.doi.org/10.1007/s003000050175</v>
      </c>
      <c r="BG870" t="s">
        <v>74</v>
      </c>
      <c r="BH870" t="s">
        <v>74</v>
      </c>
      <c r="BI870">
        <v>13</v>
      </c>
      <c r="BJ870" t="s">
        <v>903</v>
      </c>
      <c r="BK870" t="s">
        <v>98</v>
      </c>
      <c r="BL870" t="s">
        <v>904</v>
      </c>
      <c r="BM870" t="s">
        <v>10473</v>
      </c>
      <c r="BN870" t="s">
        <v>74</v>
      </c>
      <c r="BO870" t="s">
        <v>74</v>
      </c>
      <c r="BP870" t="s">
        <v>74</v>
      </c>
      <c r="BQ870" t="s">
        <v>74</v>
      </c>
      <c r="BR870" t="s">
        <v>101</v>
      </c>
      <c r="BS870" t="s">
        <v>10489</v>
      </c>
      <c r="BT870" t="str">
        <f>HYPERLINK("https%3A%2F%2Fwww.webofscience.com%2Fwos%2Fwoscc%2Ffull-record%2FWOS:A1997XR39800004","View Full Record in Web of Science")</f>
        <v>View Full Record in Web of Science</v>
      </c>
    </row>
    <row r="871" spans="1:72" x14ac:dyDescent="0.15">
      <c r="A871" t="s">
        <v>72</v>
      </c>
      <c r="B871" t="s">
        <v>10490</v>
      </c>
      <c r="C871" t="s">
        <v>74</v>
      </c>
      <c r="D871" t="s">
        <v>74</v>
      </c>
      <c r="E871" t="s">
        <v>74</v>
      </c>
      <c r="F871" t="s">
        <v>10490</v>
      </c>
      <c r="G871" t="s">
        <v>74</v>
      </c>
      <c r="H871" t="s">
        <v>74</v>
      </c>
      <c r="I871" t="s">
        <v>10491</v>
      </c>
      <c r="J871" t="s">
        <v>888</v>
      </c>
      <c r="K871" t="s">
        <v>74</v>
      </c>
      <c r="L871" t="s">
        <v>74</v>
      </c>
      <c r="M871" t="s">
        <v>77</v>
      </c>
      <c r="N871" t="s">
        <v>78</v>
      </c>
      <c r="O871" t="s">
        <v>74</v>
      </c>
      <c r="P871" t="s">
        <v>74</v>
      </c>
      <c r="Q871" t="s">
        <v>74</v>
      </c>
      <c r="R871" t="s">
        <v>74</v>
      </c>
      <c r="S871" t="s">
        <v>74</v>
      </c>
      <c r="T871" t="s">
        <v>74</v>
      </c>
      <c r="U871" t="s">
        <v>10492</v>
      </c>
      <c r="V871" t="s">
        <v>10493</v>
      </c>
      <c r="W871" t="s">
        <v>74</v>
      </c>
      <c r="X871" t="s">
        <v>74</v>
      </c>
      <c r="Y871" t="s">
        <v>10494</v>
      </c>
      <c r="Z871" t="s">
        <v>74</v>
      </c>
      <c r="AA871" t="s">
        <v>74</v>
      </c>
      <c r="AB871" t="s">
        <v>74</v>
      </c>
      <c r="AC871" t="s">
        <v>74</v>
      </c>
      <c r="AD871" t="s">
        <v>74</v>
      </c>
      <c r="AE871" t="s">
        <v>74</v>
      </c>
      <c r="AF871" t="s">
        <v>74</v>
      </c>
      <c r="AG871">
        <v>61</v>
      </c>
      <c r="AH871">
        <v>47</v>
      </c>
      <c r="AI871">
        <v>47</v>
      </c>
      <c r="AJ871">
        <v>0</v>
      </c>
      <c r="AK871">
        <v>1</v>
      </c>
      <c r="AL871" t="s">
        <v>914</v>
      </c>
      <c r="AM871" t="s">
        <v>244</v>
      </c>
      <c r="AN871" t="s">
        <v>915</v>
      </c>
      <c r="AO871" t="s">
        <v>899</v>
      </c>
      <c r="AP871" t="s">
        <v>916</v>
      </c>
      <c r="AQ871" t="s">
        <v>74</v>
      </c>
      <c r="AR871" t="s">
        <v>900</v>
      </c>
      <c r="AS871" t="s">
        <v>901</v>
      </c>
      <c r="AT871" t="s">
        <v>9908</v>
      </c>
      <c r="AU871">
        <v>1997</v>
      </c>
      <c r="AV871">
        <v>18</v>
      </c>
      <c r="AW871">
        <v>3</v>
      </c>
      <c r="AX871" t="s">
        <v>74</v>
      </c>
      <c r="AY871" t="s">
        <v>74</v>
      </c>
      <c r="AZ871" t="s">
        <v>74</v>
      </c>
      <c r="BA871" t="s">
        <v>74</v>
      </c>
      <c r="BB871">
        <v>193</v>
      </c>
      <c r="BC871">
        <v>208</v>
      </c>
      <c r="BD871" t="s">
        <v>74</v>
      </c>
      <c r="BE871" t="s">
        <v>10495</v>
      </c>
      <c r="BF871" t="str">
        <f>HYPERLINK("http://dx.doi.org/10.1007/s003000050176","http://dx.doi.org/10.1007/s003000050176")</f>
        <v>http://dx.doi.org/10.1007/s003000050176</v>
      </c>
      <c r="BG871" t="s">
        <v>74</v>
      </c>
      <c r="BH871" t="s">
        <v>74</v>
      </c>
      <c r="BI871">
        <v>16</v>
      </c>
      <c r="BJ871" t="s">
        <v>903</v>
      </c>
      <c r="BK871" t="s">
        <v>98</v>
      </c>
      <c r="BL871" t="s">
        <v>904</v>
      </c>
      <c r="BM871" t="s">
        <v>10473</v>
      </c>
      <c r="BN871" t="s">
        <v>74</v>
      </c>
      <c r="BO871" t="s">
        <v>74</v>
      </c>
      <c r="BP871" t="s">
        <v>74</v>
      </c>
      <c r="BQ871" t="s">
        <v>74</v>
      </c>
      <c r="BR871" t="s">
        <v>101</v>
      </c>
      <c r="BS871" t="s">
        <v>10496</v>
      </c>
      <c r="BT871" t="str">
        <f>HYPERLINK("https%3A%2F%2Fwww.webofscience.com%2Fwos%2Fwoscc%2Ffull-record%2FWOS:A1997XR39800005","View Full Record in Web of Science")</f>
        <v>View Full Record in Web of Science</v>
      </c>
    </row>
    <row r="872" spans="1:72" x14ac:dyDescent="0.15">
      <c r="A872" t="s">
        <v>72</v>
      </c>
      <c r="B872" t="s">
        <v>10497</v>
      </c>
      <c r="C872" t="s">
        <v>74</v>
      </c>
      <c r="D872" t="s">
        <v>74</v>
      </c>
      <c r="E872" t="s">
        <v>74</v>
      </c>
      <c r="F872" t="s">
        <v>10497</v>
      </c>
      <c r="G872" t="s">
        <v>74</v>
      </c>
      <c r="H872" t="s">
        <v>74</v>
      </c>
      <c r="I872" t="s">
        <v>10498</v>
      </c>
      <c r="J872" t="s">
        <v>888</v>
      </c>
      <c r="K872" t="s">
        <v>74</v>
      </c>
      <c r="L872" t="s">
        <v>74</v>
      </c>
      <c r="M872" t="s">
        <v>77</v>
      </c>
      <c r="N872" t="s">
        <v>78</v>
      </c>
      <c r="O872" t="s">
        <v>74</v>
      </c>
      <c r="P872" t="s">
        <v>74</v>
      </c>
      <c r="Q872" t="s">
        <v>74</v>
      </c>
      <c r="R872" t="s">
        <v>74</v>
      </c>
      <c r="S872" t="s">
        <v>74</v>
      </c>
      <c r="T872" t="s">
        <v>74</v>
      </c>
      <c r="U872" t="s">
        <v>10499</v>
      </c>
      <c r="V872" t="s">
        <v>10500</v>
      </c>
      <c r="W872" t="s">
        <v>10501</v>
      </c>
      <c r="X872" t="s">
        <v>10502</v>
      </c>
      <c r="Y872" t="s">
        <v>10503</v>
      </c>
      <c r="Z872" t="s">
        <v>74</v>
      </c>
      <c r="AA872" t="s">
        <v>74</v>
      </c>
      <c r="AB872" t="s">
        <v>74</v>
      </c>
      <c r="AC872" t="s">
        <v>74</v>
      </c>
      <c r="AD872" t="s">
        <v>74</v>
      </c>
      <c r="AE872" t="s">
        <v>74</v>
      </c>
      <c r="AF872" t="s">
        <v>74</v>
      </c>
      <c r="AG872">
        <v>19</v>
      </c>
      <c r="AH872">
        <v>29</v>
      </c>
      <c r="AI872">
        <v>35</v>
      </c>
      <c r="AJ872">
        <v>0</v>
      </c>
      <c r="AK872">
        <v>2</v>
      </c>
      <c r="AL872" t="s">
        <v>897</v>
      </c>
      <c r="AM872" t="s">
        <v>244</v>
      </c>
      <c r="AN872" t="s">
        <v>7783</v>
      </c>
      <c r="AO872" t="s">
        <v>899</v>
      </c>
      <c r="AP872" t="s">
        <v>74</v>
      </c>
      <c r="AQ872" t="s">
        <v>74</v>
      </c>
      <c r="AR872" t="s">
        <v>900</v>
      </c>
      <c r="AS872" t="s">
        <v>901</v>
      </c>
      <c r="AT872" t="s">
        <v>9908</v>
      </c>
      <c r="AU872">
        <v>1997</v>
      </c>
      <c r="AV872">
        <v>18</v>
      </c>
      <c r="AW872">
        <v>3</v>
      </c>
      <c r="AX872" t="s">
        <v>74</v>
      </c>
      <c r="AY872" t="s">
        <v>74</v>
      </c>
      <c r="AZ872" t="s">
        <v>74</v>
      </c>
      <c r="BA872" t="s">
        <v>74</v>
      </c>
      <c r="BB872">
        <v>209</v>
      </c>
      <c r="BC872">
        <v>213</v>
      </c>
      <c r="BD872" t="s">
        <v>74</v>
      </c>
      <c r="BE872" t="s">
        <v>10504</v>
      </c>
      <c r="BF872" t="str">
        <f>HYPERLINK("http://dx.doi.org/10.1007/s003000050177","http://dx.doi.org/10.1007/s003000050177")</f>
        <v>http://dx.doi.org/10.1007/s003000050177</v>
      </c>
      <c r="BG872" t="s">
        <v>74</v>
      </c>
      <c r="BH872" t="s">
        <v>74</v>
      </c>
      <c r="BI872">
        <v>5</v>
      </c>
      <c r="BJ872" t="s">
        <v>903</v>
      </c>
      <c r="BK872" t="s">
        <v>98</v>
      </c>
      <c r="BL872" t="s">
        <v>904</v>
      </c>
      <c r="BM872" t="s">
        <v>10473</v>
      </c>
      <c r="BN872" t="s">
        <v>74</v>
      </c>
      <c r="BO872" t="s">
        <v>74</v>
      </c>
      <c r="BP872" t="s">
        <v>74</v>
      </c>
      <c r="BQ872" t="s">
        <v>74</v>
      </c>
      <c r="BR872" t="s">
        <v>101</v>
      </c>
      <c r="BS872" t="s">
        <v>10505</v>
      </c>
      <c r="BT872" t="str">
        <f>HYPERLINK("https%3A%2F%2Fwww.webofscience.com%2Fwos%2Fwoscc%2Ffull-record%2FWOS:A1997XR39800006","View Full Record in Web of Science")</f>
        <v>View Full Record in Web of Science</v>
      </c>
    </row>
    <row r="873" spans="1:72" x14ac:dyDescent="0.15">
      <c r="A873" t="s">
        <v>72</v>
      </c>
      <c r="B873" t="s">
        <v>10506</v>
      </c>
      <c r="C873" t="s">
        <v>74</v>
      </c>
      <c r="D873" t="s">
        <v>74</v>
      </c>
      <c r="E873" t="s">
        <v>74</v>
      </c>
      <c r="F873" t="s">
        <v>10506</v>
      </c>
      <c r="G873" t="s">
        <v>74</v>
      </c>
      <c r="H873" t="s">
        <v>74</v>
      </c>
      <c r="I873" t="s">
        <v>10507</v>
      </c>
      <c r="J873" t="s">
        <v>888</v>
      </c>
      <c r="K873" t="s">
        <v>74</v>
      </c>
      <c r="L873" t="s">
        <v>74</v>
      </c>
      <c r="M873" t="s">
        <v>77</v>
      </c>
      <c r="N873" t="s">
        <v>78</v>
      </c>
      <c r="O873" t="s">
        <v>74</v>
      </c>
      <c r="P873" t="s">
        <v>74</v>
      </c>
      <c r="Q873" t="s">
        <v>74</v>
      </c>
      <c r="R873" t="s">
        <v>74</v>
      </c>
      <c r="S873" t="s">
        <v>74</v>
      </c>
      <c r="T873" t="s">
        <v>74</v>
      </c>
      <c r="U873" t="s">
        <v>10508</v>
      </c>
      <c r="V873" t="s">
        <v>10509</v>
      </c>
      <c r="W873" t="s">
        <v>10510</v>
      </c>
      <c r="X873" t="s">
        <v>74</v>
      </c>
      <c r="Y873" t="s">
        <v>10511</v>
      </c>
      <c r="Z873" t="s">
        <v>74</v>
      </c>
      <c r="AA873" t="s">
        <v>74</v>
      </c>
      <c r="AB873" t="s">
        <v>74</v>
      </c>
      <c r="AC873" t="s">
        <v>74</v>
      </c>
      <c r="AD873" t="s">
        <v>74</v>
      </c>
      <c r="AE873" t="s">
        <v>74</v>
      </c>
      <c r="AF873" t="s">
        <v>74</v>
      </c>
      <c r="AG873">
        <v>27</v>
      </c>
      <c r="AH873">
        <v>25</v>
      </c>
      <c r="AI873">
        <v>30</v>
      </c>
      <c r="AJ873">
        <v>1</v>
      </c>
      <c r="AK873">
        <v>11</v>
      </c>
      <c r="AL873" t="s">
        <v>897</v>
      </c>
      <c r="AM873" t="s">
        <v>244</v>
      </c>
      <c r="AN873" t="s">
        <v>7783</v>
      </c>
      <c r="AO873" t="s">
        <v>899</v>
      </c>
      <c r="AP873" t="s">
        <v>74</v>
      </c>
      <c r="AQ873" t="s">
        <v>74</v>
      </c>
      <c r="AR873" t="s">
        <v>900</v>
      </c>
      <c r="AS873" t="s">
        <v>901</v>
      </c>
      <c r="AT873" t="s">
        <v>9908</v>
      </c>
      <c r="AU873">
        <v>1997</v>
      </c>
      <c r="AV873">
        <v>18</v>
      </c>
      <c r="AW873">
        <v>3</v>
      </c>
      <c r="AX873" t="s">
        <v>74</v>
      </c>
      <c r="AY873" t="s">
        <v>74</v>
      </c>
      <c r="AZ873" t="s">
        <v>74</v>
      </c>
      <c r="BA873" t="s">
        <v>74</v>
      </c>
      <c r="BB873">
        <v>214</v>
      </c>
      <c r="BC873">
        <v>218</v>
      </c>
      <c r="BD873" t="s">
        <v>74</v>
      </c>
      <c r="BE873" t="s">
        <v>10512</v>
      </c>
      <c r="BF873" t="str">
        <f>HYPERLINK("http://dx.doi.org/10.1007/s003000050178","http://dx.doi.org/10.1007/s003000050178")</f>
        <v>http://dx.doi.org/10.1007/s003000050178</v>
      </c>
      <c r="BG873" t="s">
        <v>74</v>
      </c>
      <c r="BH873" t="s">
        <v>74</v>
      </c>
      <c r="BI873">
        <v>5</v>
      </c>
      <c r="BJ873" t="s">
        <v>903</v>
      </c>
      <c r="BK873" t="s">
        <v>98</v>
      </c>
      <c r="BL873" t="s">
        <v>904</v>
      </c>
      <c r="BM873" t="s">
        <v>10473</v>
      </c>
      <c r="BN873" t="s">
        <v>74</v>
      </c>
      <c r="BO873" t="s">
        <v>74</v>
      </c>
      <c r="BP873" t="s">
        <v>74</v>
      </c>
      <c r="BQ873" t="s">
        <v>74</v>
      </c>
      <c r="BR873" t="s">
        <v>101</v>
      </c>
      <c r="BS873" t="s">
        <v>10513</v>
      </c>
      <c r="BT873" t="str">
        <f>HYPERLINK("https%3A%2F%2Fwww.webofscience.com%2Fwos%2Fwoscc%2Ffull-record%2FWOS:A1997XR39800007","View Full Record in Web of Science")</f>
        <v>View Full Record in Web of Science</v>
      </c>
    </row>
    <row r="874" spans="1:72" x14ac:dyDescent="0.15">
      <c r="A874" t="s">
        <v>72</v>
      </c>
      <c r="B874" t="s">
        <v>10514</v>
      </c>
      <c r="C874" t="s">
        <v>74</v>
      </c>
      <c r="D874" t="s">
        <v>74</v>
      </c>
      <c r="E874" t="s">
        <v>74</v>
      </c>
      <c r="F874" t="s">
        <v>10514</v>
      </c>
      <c r="G874" t="s">
        <v>74</v>
      </c>
      <c r="H874" t="s">
        <v>74</v>
      </c>
      <c r="I874" t="s">
        <v>10515</v>
      </c>
      <c r="J874" t="s">
        <v>888</v>
      </c>
      <c r="K874" t="s">
        <v>74</v>
      </c>
      <c r="L874" t="s">
        <v>74</v>
      </c>
      <c r="M874" t="s">
        <v>77</v>
      </c>
      <c r="N874" t="s">
        <v>78</v>
      </c>
      <c r="O874" t="s">
        <v>74</v>
      </c>
      <c r="P874" t="s">
        <v>74</v>
      </c>
      <c r="Q874" t="s">
        <v>74</v>
      </c>
      <c r="R874" t="s">
        <v>74</v>
      </c>
      <c r="S874" t="s">
        <v>74</v>
      </c>
      <c r="T874" t="s">
        <v>74</v>
      </c>
      <c r="U874" t="s">
        <v>10516</v>
      </c>
      <c r="V874" t="s">
        <v>10517</v>
      </c>
      <c r="W874" t="s">
        <v>74</v>
      </c>
      <c r="X874" t="s">
        <v>74</v>
      </c>
      <c r="Y874" t="s">
        <v>10518</v>
      </c>
      <c r="Z874" t="s">
        <v>74</v>
      </c>
      <c r="AA874" t="s">
        <v>74</v>
      </c>
      <c r="AB874" t="s">
        <v>74</v>
      </c>
      <c r="AC874" t="s">
        <v>74</v>
      </c>
      <c r="AD874" t="s">
        <v>74</v>
      </c>
      <c r="AE874" t="s">
        <v>74</v>
      </c>
      <c r="AF874" t="s">
        <v>74</v>
      </c>
      <c r="AG874">
        <v>18</v>
      </c>
      <c r="AH874">
        <v>12</v>
      </c>
      <c r="AI874">
        <v>13</v>
      </c>
      <c r="AJ874">
        <v>0</v>
      </c>
      <c r="AK874">
        <v>3</v>
      </c>
      <c r="AL874" t="s">
        <v>897</v>
      </c>
      <c r="AM874" t="s">
        <v>244</v>
      </c>
      <c r="AN874" t="s">
        <v>7783</v>
      </c>
      <c r="AO874" t="s">
        <v>899</v>
      </c>
      <c r="AP874" t="s">
        <v>74</v>
      </c>
      <c r="AQ874" t="s">
        <v>74</v>
      </c>
      <c r="AR874" t="s">
        <v>900</v>
      </c>
      <c r="AS874" t="s">
        <v>901</v>
      </c>
      <c r="AT874" t="s">
        <v>9908</v>
      </c>
      <c r="AU874">
        <v>1997</v>
      </c>
      <c r="AV874">
        <v>18</v>
      </c>
      <c r="AW874">
        <v>3</v>
      </c>
      <c r="AX874" t="s">
        <v>74</v>
      </c>
      <c r="AY874" t="s">
        <v>74</v>
      </c>
      <c r="AZ874" t="s">
        <v>74</v>
      </c>
      <c r="BA874" t="s">
        <v>74</v>
      </c>
      <c r="BB874">
        <v>219</v>
      </c>
      <c r="BC874">
        <v>222</v>
      </c>
      <c r="BD874" t="s">
        <v>74</v>
      </c>
      <c r="BE874" t="s">
        <v>10519</v>
      </c>
      <c r="BF874" t="str">
        <f>HYPERLINK("http://dx.doi.org/10.1007/s003000050179","http://dx.doi.org/10.1007/s003000050179")</f>
        <v>http://dx.doi.org/10.1007/s003000050179</v>
      </c>
      <c r="BG874" t="s">
        <v>74</v>
      </c>
      <c r="BH874" t="s">
        <v>74</v>
      </c>
      <c r="BI874">
        <v>4</v>
      </c>
      <c r="BJ874" t="s">
        <v>903</v>
      </c>
      <c r="BK874" t="s">
        <v>98</v>
      </c>
      <c r="BL874" t="s">
        <v>904</v>
      </c>
      <c r="BM874" t="s">
        <v>10473</v>
      </c>
      <c r="BN874" t="s">
        <v>74</v>
      </c>
      <c r="BO874" t="s">
        <v>74</v>
      </c>
      <c r="BP874" t="s">
        <v>74</v>
      </c>
      <c r="BQ874" t="s">
        <v>74</v>
      </c>
      <c r="BR874" t="s">
        <v>101</v>
      </c>
      <c r="BS874" t="s">
        <v>10520</v>
      </c>
      <c r="BT874" t="str">
        <f>HYPERLINK("https%3A%2F%2Fwww.webofscience.com%2Fwos%2Fwoscc%2Ffull-record%2FWOS:A1997XR39800008","View Full Record in Web of Science")</f>
        <v>View Full Record in Web of Science</v>
      </c>
    </row>
    <row r="875" spans="1:72" x14ac:dyDescent="0.15">
      <c r="A875" t="s">
        <v>72</v>
      </c>
      <c r="B875" t="s">
        <v>10521</v>
      </c>
      <c r="C875" t="s">
        <v>74</v>
      </c>
      <c r="D875" t="s">
        <v>74</v>
      </c>
      <c r="E875" t="s">
        <v>74</v>
      </c>
      <c r="F875" t="s">
        <v>10521</v>
      </c>
      <c r="G875" t="s">
        <v>74</v>
      </c>
      <c r="H875" t="s">
        <v>74</v>
      </c>
      <c r="I875" t="s">
        <v>10522</v>
      </c>
      <c r="J875" t="s">
        <v>888</v>
      </c>
      <c r="K875" t="s">
        <v>74</v>
      </c>
      <c r="L875" t="s">
        <v>74</v>
      </c>
      <c r="M875" t="s">
        <v>77</v>
      </c>
      <c r="N875" t="s">
        <v>78</v>
      </c>
      <c r="O875" t="s">
        <v>74</v>
      </c>
      <c r="P875" t="s">
        <v>74</v>
      </c>
      <c r="Q875" t="s">
        <v>74</v>
      </c>
      <c r="R875" t="s">
        <v>74</v>
      </c>
      <c r="S875" t="s">
        <v>74</v>
      </c>
      <c r="T875" t="s">
        <v>74</v>
      </c>
      <c r="U875" t="s">
        <v>10523</v>
      </c>
      <c r="V875" t="s">
        <v>10524</v>
      </c>
      <c r="W875" t="s">
        <v>10525</v>
      </c>
      <c r="X875" t="s">
        <v>82</v>
      </c>
      <c r="Y875" t="s">
        <v>10526</v>
      </c>
      <c r="Z875" t="s">
        <v>74</v>
      </c>
      <c r="AA875" t="s">
        <v>74</v>
      </c>
      <c r="AB875" t="s">
        <v>10527</v>
      </c>
      <c r="AC875" t="s">
        <v>74</v>
      </c>
      <c r="AD875" t="s">
        <v>74</v>
      </c>
      <c r="AE875" t="s">
        <v>74</v>
      </c>
      <c r="AF875" t="s">
        <v>74</v>
      </c>
      <c r="AG875">
        <v>15</v>
      </c>
      <c r="AH875">
        <v>5</v>
      </c>
      <c r="AI875">
        <v>5</v>
      </c>
      <c r="AJ875">
        <v>0</v>
      </c>
      <c r="AK875">
        <v>0</v>
      </c>
      <c r="AL875" t="s">
        <v>897</v>
      </c>
      <c r="AM875" t="s">
        <v>244</v>
      </c>
      <c r="AN875" t="s">
        <v>7783</v>
      </c>
      <c r="AO875" t="s">
        <v>899</v>
      </c>
      <c r="AP875" t="s">
        <v>74</v>
      </c>
      <c r="AQ875" t="s">
        <v>74</v>
      </c>
      <c r="AR875" t="s">
        <v>900</v>
      </c>
      <c r="AS875" t="s">
        <v>901</v>
      </c>
      <c r="AT875" t="s">
        <v>9908</v>
      </c>
      <c r="AU875">
        <v>1997</v>
      </c>
      <c r="AV875">
        <v>18</v>
      </c>
      <c r="AW875">
        <v>3</v>
      </c>
      <c r="AX875" t="s">
        <v>74</v>
      </c>
      <c r="AY875" t="s">
        <v>74</v>
      </c>
      <c r="AZ875" t="s">
        <v>74</v>
      </c>
      <c r="BA875" t="s">
        <v>74</v>
      </c>
      <c r="BB875">
        <v>223</v>
      </c>
      <c r="BC875">
        <v>226</v>
      </c>
      <c r="BD875" t="s">
        <v>74</v>
      </c>
      <c r="BE875" t="s">
        <v>10528</v>
      </c>
      <c r="BF875" t="str">
        <f>HYPERLINK("http://dx.doi.org/10.1007/s003000050180","http://dx.doi.org/10.1007/s003000050180")</f>
        <v>http://dx.doi.org/10.1007/s003000050180</v>
      </c>
      <c r="BG875" t="s">
        <v>74</v>
      </c>
      <c r="BH875" t="s">
        <v>74</v>
      </c>
      <c r="BI875">
        <v>4</v>
      </c>
      <c r="BJ875" t="s">
        <v>903</v>
      </c>
      <c r="BK875" t="s">
        <v>98</v>
      </c>
      <c r="BL875" t="s">
        <v>904</v>
      </c>
      <c r="BM875" t="s">
        <v>10473</v>
      </c>
      <c r="BN875" t="s">
        <v>74</v>
      </c>
      <c r="BO875" t="s">
        <v>74</v>
      </c>
      <c r="BP875" t="s">
        <v>74</v>
      </c>
      <c r="BQ875" t="s">
        <v>74</v>
      </c>
      <c r="BR875" t="s">
        <v>101</v>
      </c>
      <c r="BS875" t="s">
        <v>10529</v>
      </c>
      <c r="BT875" t="str">
        <f>HYPERLINK("https%3A%2F%2Fwww.webofscience.com%2Fwos%2Fwoscc%2Ffull-record%2FWOS:A1997XR39800009","View Full Record in Web of Science")</f>
        <v>View Full Record in Web of Science</v>
      </c>
    </row>
    <row r="876" spans="1:72" x14ac:dyDescent="0.15">
      <c r="A876" t="s">
        <v>72</v>
      </c>
      <c r="B876" t="s">
        <v>10530</v>
      </c>
      <c r="C876" t="s">
        <v>74</v>
      </c>
      <c r="D876" t="s">
        <v>74</v>
      </c>
      <c r="E876" t="s">
        <v>74</v>
      </c>
      <c r="F876" t="s">
        <v>10530</v>
      </c>
      <c r="G876" t="s">
        <v>74</v>
      </c>
      <c r="H876" t="s">
        <v>74</v>
      </c>
      <c r="I876" t="s">
        <v>10531</v>
      </c>
      <c r="J876" t="s">
        <v>10532</v>
      </c>
      <c r="K876" t="s">
        <v>74</v>
      </c>
      <c r="L876" t="s">
        <v>74</v>
      </c>
      <c r="M876" t="s">
        <v>77</v>
      </c>
      <c r="N876" t="s">
        <v>1135</v>
      </c>
      <c r="O876" t="s">
        <v>74</v>
      </c>
      <c r="P876" t="s">
        <v>74</v>
      </c>
      <c r="Q876" t="s">
        <v>74</v>
      </c>
      <c r="R876" t="s">
        <v>74</v>
      </c>
      <c r="S876" t="s">
        <v>74</v>
      </c>
      <c r="T876" t="s">
        <v>74</v>
      </c>
      <c r="U876" t="s">
        <v>74</v>
      </c>
      <c r="V876" t="s">
        <v>74</v>
      </c>
      <c r="W876" t="s">
        <v>10533</v>
      </c>
      <c r="X876" t="s">
        <v>1045</v>
      </c>
      <c r="Y876" t="s">
        <v>10534</v>
      </c>
      <c r="Z876" t="s">
        <v>74</v>
      </c>
      <c r="AA876" t="s">
        <v>74</v>
      </c>
      <c r="AB876" t="s">
        <v>74</v>
      </c>
      <c r="AC876" t="s">
        <v>74</v>
      </c>
      <c r="AD876" t="s">
        <v>74</v>
      </c>
      <c r="AE876" t="s">
        <v>74</v>
      </c>
      <c r="AF876" t="s">
        <v>74</v>
      </c>
      <c r="AG876">
        <v>7</v>
      </c>
      <c r="AH876">
        <v>0</v>
      </c>
      <c r="AI876">
        <v>0</v>
      </c>
      <c r="AJ876">
        <v>0</v>
      </c>
      <c r="AK876">
        <v>1</v>
      </c>
      <c r="AL876" t="s">
        <v>10535</v>
      </c>
      <c r="AM876" t="s">
        <v>10536</v>
      </c>
      <c r="AN876" t="s">
        <v>10537</v>
      </c>
      <c r="AO876" t="s">
        <v>10538</v>
      </c>
      <c r="AP876" t="s">
        <v>74</v>
      </c>
      <c r="AQ876" t="s">
        <v>74</v>
      </c>
      <c r="AR876" t="s">
        <v>10539</v>
      </c>
      <c r="AS876" t="s">
        <v>10540</v>
      </c>
      <c r="AT876" t="s">
        <v>9908</v>
      </c>
      <c r="AU876">
        <v>1997</v>
      </c>
      <c r="AV876">
        <v>16</v>
      </c>
      <c r="AW876">
        <v>2</v>
      </c>
      <c r="AX876" t="s">
        <v>74</v>
      </c>
      <c r="AY876" t="s">
        <v>74</v>
      </c>
      <c r="AZ876" t="s">
        <v>74</v>
      </c>
      <c r="BA876" t="s">
        <v>74</v>
      </c>
      <c r="BB876">
        <v>331</v>
      </c>
      <c r="BC876">
        <v>333</v>
      </c>
      <c r="BD876" t="s">
        <v>74</v>
      </c>
      <c r="BE876" t="s">
        <v>10541</v>
      </c>
      <c r="BF876" t="str">
        <f>HYPERLINK("http://dx.doi.org/10.1017/S0730938400024989","http://dx.doi.org/10.1017/S0730938400024989")</f>
        <v>http://dx.doi.org/10.1017/S0730938400024989</v>
      </c>
      <c r="BG876" t="s">
        <v>74</v>
      </c>
      <c r="BH876" t="s">
        <v>74</v>
      </c>
      <c r="BI876">
        <v>3</v>
      </c>
      <c r="BJ876" t="s">
        <v>10542</v>
      </c>
      <c r="BK876" t="s">
        <v>1619</v>
      </c>
      <c r="BL876" t="s">
        <v>10543</v>
      </c>
      <c r="BM876" t="s">
        <v>10544</v>
      </c>
      <c r="BN876" t="s">
        <v>74</v>
      </c>
      <c r="BO876" t="s">
        <v>74</v>
      </c>
      <c r="BP876" t="s">
        <v>74</v>
      </c>
      <c r="BQ876" t="s">
        <v>74</v>
      </c>
      <c r="BR876" t="s">
        <v>101</v>
      </c>
      <c r="BS876" t="s">
        <v>10545</v>
      </c>
      <c r="BT876" t="str">
        <f>HYPERLINK("https%3A%2F%2Fwww.webofscience.com%2Fwos%2Fwoscc%2Ffull-record%2FWOS:000071180000047","View Full Record in Web of Science")</f>
        <v>View Full Record in Web of Science</v>
      </c>
    </row>
    <row r="877" spans="1:72" x14ac:dyDescent="0.15">
      <c r="A877" t="s">
        <v>72</v>
      </c>
      <c r="B877" t="s">
        <v>10546</v>
      </c>
      <c r="C877" t="s">
        <v>74</v>
      </c>
      <c r="D877" t="s">
        <v>74</v>
      </c>
      <c r="E877" t="s">
        <v>74</v>
      </c>
      <c r="F877" t="s">
        <v>10546</v>
      </c>
      <c r="G877" t="s">
        <v>74</v>
      </c>
      <c r="H877" t="s">
        <v>74</v>
      </c>
      <c r="I877" t="s">
        <v>10547</v>
      </c>
      <c r="J877" t="s">
        <v>10548</v>
      </c>
      <c r="K877" t="s">
        <v>74</v>
      </c>
      <c r="L877" t="s">
        <v>74</v>
      </c>
      <c r="M877" t="s">
        <v>77</v>
      </c>
      <c r="N877" t="s">
        <v>78</v>
      </c>
      <c r="O877" t="s">
        <v>74</v>
      </c>
      <c r="P877" t="s">
        <v>74</v>
      </c>
      <c r="Q877" t="s">
        <v>74</v>
      </c>
      <c r="R877" t="s">
        <v>74</v>
      </c>
      <c r="S877" t="s">
        <v>74</v>
      </c>
      <c r="T877" t="s">
        <v>74</v>
      </c>
      <c r="U877" t="s">
        <v>10549</v>
      </c>
      <c r="V877" t="s">
        <v>10550</v>
      </c>
      <c r="W877" t="s">
        <v>10551</v>
      </c>
      <c r="X877" t="s">
        <v>10552</v>
      </c>
      <c r="Y877" t="s">
        <v>10553</v>
      </c>
      <c r="Z877" t="s">
        <v>74</v>
      </c>
      <c r="AA877" t="s">
        <v>74</v>
      </c>
      <c r="AB877" t="s">
        <v>74</v>
      </c>
      <c r="AC877" t="s">
        <v>74</v>
      </c>
      <c r="AD877" t="s">
        <v>74</v>
      </c>
      <c r="AE877" t="s">
        <v>74</v>
      </c>
      <c r="AF877" t="s">
        <v>74</v>
      </c>
      <c r="AG877">
        <v>68</v>
      </c>
      <c r="AH877">
        <v>198</v>
      </c>
      <c r="AI877">
        <v>225</v>
      </c>
      <c r="AJ877">
        <v>0</v>
      </c>
      <c r="AK877">
        <v>28</v>
      </c>
      <c r="AL877" t="s">
        <v>243</v>
      </c>
      <c r="AM877" t="s">
        <v>244</v>
      </c>
      <c r="AN877" t="s">
        <v>245</v>
      </c>
      <c r="AO877" t="s">
        <v>10554</v>
      </c>
      <c r="AP877" t="s">
        <v>10555</v>
      </c>
      <c r="AQ877" t="s">
        <v>74</v>
      </c>
      <c r="AR877" t="s">
        <v>10556</v>
      </c>
      <c r="AS877" t="s">
        <v>10557</v>
      </c>
      <c r="AT877" t="s">
        <v>9908</v>
      </c>
      <c r="AU877">
        <v>1997</v>
      </c>
      <c r="AV877">
        <v>48</v>
      </c>
      <c r="AW877">
        <v>2</v>
      </c>
      <c r="AX877" t="s">
        <v>74</v>
      </c>
      <c r="AY877" t="s">
        <v>74</v>
      </c>
      <c r="AZ877" t="s">
        <v>74</v>
      </c>
      <c r="BA877" t="s">
        <v>74</v>
      </c>
      <c r="BB877">
        <v>141</v>
      </c>
      <c r="BC877">
        <v>154</v>
      </c>
      <c r="BD877" t="s">
        <v>74</v>
      </c>
      <c r="BE877" t="s">
        <v>10558</v>
      </c>
      <c r="BF877" t="str">
        <f>HYPERLINK("http://dx.doi.org/10.1006/qres.1997.1918","http://dx.doi.org/10.1006/qres.1997.1918")</f>
        <v>http://dx.doi.org/10.1006/qres.1997.1918</v>
      </c>
      <c r="BG877" t="s">
        <v>74</v>
      </c>
      <c r="BH877" t="s">
        <v>74</v>
      </c>
      <c r="BI877">
        <v>14</v>
      </c>
      <c r="BJ877" t="s">
        <v>4239</v>
      </c>
      <c r="BK877" t="s">
        <v>98</v>
      </c>
      <c r="BL877" t="s">
        <v>4240</v>
      </c>
      <c r="BM877" t="s">
        <v>10559</v>
      </c>
      <c r="BN877" t="s">
        <v>74</v>
      </c>
      <c r="BO877" t="s">
        <v>74</v>
      </c>
      <c r="BP877" t="s">
        <v>74</v>
      </c>
      <c r="BQ877" t="s">
        <v>74</v>
      </c>
      <c r="BR877" t="s">
        <v>101</v>
      </c>
      <c r="BS877" t="s">
        <v>10560</v>
      </c>
      <c r="BT877" t="str">
        <f>HYPERLINK("https%3A%2F%2Fwww.webofscience.com%2Fwos%2Fwoscc%2Ffull-record%2FWOS:A1997YD93000001","View Full Record in Web of Science")</f>
        <v>View Full Record in Web of Science</v>
      </c>
    </row>
    <row r="878" spans="1:72" x14ac:dyDescent="0.15">
      <c r="A878" t="s">
        <v>72</v>
      </c>
      <c r="B878" t="s">
        <v>10561</v>
      </c>
      <c r="C878" t="s">
        <v>74</v>
      </c>
      <c r="D878" t="s">
        <v>74</v>
      </c>
      <c r="E878" t="s">
        <v>74</v>
      </c>
      <c r="F878" t="s">
        <v>10561</v>
      </c>
      <c r="G878" t="s">
        <v>74</v>
      </c>
      <c r="H878" t="s">
        <v>74</v>
      </c>
      <c r="I878" t="s">
        <v>10562</v>
      </c>
      <c r="J878" t="s">
        <v>10563</v>
      </c>
      <c r="K878" t="s">
        <v>74</v>
      </c>
      <c r="L878" t="s">
        <v>74</v>
      </c>
      <c r="M878" t="s">
        <v>77</v>
      </c>
      <c r="N878" t="s">
        <v>78</v>
      </c>
      <c r="O878" t="s">
        <v>74</v>
      </c>
      <c r="P878" t="s">
        <v>74</v>
      </c>
      <c r="Q878" t="s">
        <v>74</v>
      </c>
      <c r="R878" t="s">
        <v>74</v>
      </c>
      <c r="S878" t="s">
        <v>74</v>
      </c>
      <c r="T878" t="s">
        <v>10564</v>
      </c>
      <c r="U878" t="s">
        <v>10565</v>
      </c>
      <c r="V878" t="s">
        <v>10566</v>
      </c>
      <c r="W878" t="s">
        <v>10567</v>
      </c>
      <c r="X878" t="s">
        <v>3387</v>
      </c>
      <c r="Y878" t="s">
        <v>10568</v>
      </c>
      <c r="Z878" t="s">
        <v>74</v>
      </c>
      <c r="AA878" t="s">
        <v>74</v>
      </c>
      <c r="AB878" t="s">
        <v>10569</v>
      </c>
      <c r="AC878" t="s">
        <v>74</v>
      </c>
      <c r="AD878" t="s">
        <v>74</v>
      </c>
      <c r="AE878" t="s">
        <v>74</v>
      </c>
      <c r="AF878" t="s">
        <v>74</v>
      </c>
      <c r="AG878">
        <v>34</v>
      </c>
      <c r="AH878">
        <v>33</v>
      </c>
      <c r="AI878">
        <v>37</v>
      </c>
      <c r="AJ878">
        <v>0</v>
      </c>
      <c r="AK878">
        <v>9</v>
      </c>
      <c r="AL878" t="s">
        <v>9761</v>
      </c>
      <c r="AM878" t="s">
        <v>1030</v>
      </c>
      <c r="AN878" t="s">
        <v>9762</v>
      </c>
      <c r="AO878" t="s">
        <v>10570</v>
      </c>
      <c r="AP878" t="s">
        <v>10571</v>
      </c>
      <c r="AQ878" t="s">
        <v>74</v>
      </c>
      <c r="AR878" t="s">
        <v>10572</v>
      </c>
      <c r="AS878" t="s">
        <v>10573</v>
      </c>
      <c r="AT878" t="s">
        <v>9908</v>
      </c>
      <c r="AU878">
        <v>1997</v>
      </c>
      <c r="AV878">
        <v>97</v>
      </c>
      <c r="AW878" t="s">
        <v>694</v>
      </c>
      <c r="AX878" t="s">
        <v>74</v>
      </c>
      <c r="AY878" t="s">
        <v>74</v>
      </c>
      <c r="AZ878" t="s">
        <v>74</v>
      </c>
      <c r="BA878" t="s">
        <v>74</v>
      </c>
      <c r="BB878">
        <v>339</v>
      </c>
      <c r="BC878">
        <v>359</v>
      </c>
      <c r="BD878" t="s">
        <v>74</v>
      </c>
      <c r="BE878" t="s">
        <v>10574</v>
      </c>
      <c r="BF878" t="str">
        <f>HYPERLINK("http://dx.doi.org/10.1016/S0034-6667(97)00007-9","http://dx.doi.org/10.1016/S0034-6667(97)00007-9")</f>
        <v>http://dx.doi.org/10.1016/S0034-6667(97)00007-9</v>
      </c>
      <c r="BG878" t="s">
        <v>74</v>
      </c>
      <c r="BH878" t="s">
        <v>74</v>
      </c>
      <c r="BI878">
        <v>21</v>
      </c>
      <c r="BJ878" t="s">
        <v>10575</v>
      </c>
      <c r="BK878" t="s">
        <v>98</v>
      </c>
      <c r="BL878" t="s">
        <v>10575</v>
      </c>
      <c r="BM878" t="s">
        <v>10576</v>
      </c>
      <c r="BN878" t="s">
        <v>74</v>
      </c>
      <c r="BO878" t="s">
        <v>74</v>
      </c>
      <c r="BP878" t="s">
        <v>74</v>
      </c>
      <c r="BQ878" t="s">
        <v>74</v>
      </c>
      <c r="BR878" t="s">
        <v>101</v>
      </c>
      <c r="BS878" t="s">
        <v>10577</v>
      </c>
      <c r="BT878" t="str">
        <f>HYPERLINK("https%3A%2F%2Fwww.webofscience.com%2Fwos%2Fwoscc%2Ffull-record%2FWOS:A1997YK32700006","View Full Record in Web of Science")</f>
        <v>View Full Record in Web of Science</v>
      </c>
    </row>
    <row r="879" spans="1:72" x14ac:dyDescent="0.15">
      <c r="A879" t="s">
        <v>72</v>
      </c>
      <c r="B879" t="s">
        <v>10578</v>
      </c>
      <c r="C879" t="s">
        <v>74</v>
      </c>
      <c r="D879" t="s">
        <v>74</v>
      </c>
      <c r="E879" t="s">
        <v>74</v>
      </c>
      <c r="F879" t="s">
        <v>10578</v>
      </c>
      <c r="G879" t="s">
        <v>74</v>
      </c>
      <c r="H879" t="s">
        <v>74</v>
      </c>
      <c r="I879" t="s">
        <v>10579</v>
      </c>
      <c r="J879" t="s">
        <v>976</v>
      </c>
      <c r="K879" t="s">
        <v>74</v>
      </c>
      <c r="L879" t="s">
        <v>74</v>
      </c>
      <c r="M879" t="s">
        <v>77</v>
      </c>
      <c r="N879" t="s">
        <v>78</v>
      </c>
      <c r="O879" t="s">
        <v>74</v>
      </c>
      <c r="P879" t="s">
        <v>74</v>
      </c>
      <c r="Q879" t="s">
        <v>74</v>
      </c>
      <c r="R879" t="s">
        <v>74</v>
      </c>
      <c r="S879" t="s">
        <v>74</v>
      </c>
      <c r="T879" t="s">
        <v>74</v>
      </c>
      <c r="U879" t="s">
        <v>10580</v>
      </c>
      <c r="V879" t="s">
        <v>10581</v>
      </c>
      <c r="W879" t="s">
        <v>10582</v>
      </c>
      <c r="X879" t="s">
        <v>10583</v>
      </c>
      <c r="Y879" t="s">
        <v>10584</v>
      </c>
      <c r="Z879" t="s">
        <v>10585</v>
      </c>
      <c r="AA879" t="s">
        <v>74</v>
      </c>
      <c r="AB879" t="s">
        <v>10586</v>
      </c>
      <c r="AC879" t="s">
        <v>74</v>
      </c>
      <c r="AD879" t="s">
        <v>74</v>
      </c>
      <c r="AE879" t="s">
        <v>74</v>
      </c>
      <c r="AF879" t="s">
        <v>74</v>
      </c>
      <c r="AG879">
        <v>41</v>
      </c>
      <c r="AH879">
        <v>9</v>
      </c>
      <c r="AI879">
        <v>10</v>
      </c>
      <c r="AJ879">
        <v>0</v>
      </c>
      <c r="AK879">
        <v>1</v>
      </c>
      <c r="AL879" t="s">
        <v>983</v>
      </c>
      <c r="AM879" t="s">
        <v>984</v>
      </c>
      <c r="AN879" t="s">
        <v>985</v>
      </c>
      <c r="AO879" t="s">
        <v>986</v>
      </c>
      <c r="AP879" t="s">
        <v>74</v>
      </c>
      <c r="AQ879" t="s">
        <v>74</v>
      </c>
      <c r="AR879" t="s">
        <v>988</v>
      </c>
      <c r="AS879" t="s">
        <v>989</v>
      </c>
      <c r="AT879" t="s">
        <v>9908</v>
      </c>
      <c r="AU879">
        <v>1997</v>
      </c>
      <c r="AV879">
        <v>93</v>
      </c>
      <c r="AW879">
        <v>9</v>
      </c>
      <c r="AX879" t="s">
        <v>74</v>
      </c>
      <c r="AY879" t="s">
        <v>74</v>
      </c>
      <c r="AZ879" t="s">
        <v>74</v>
      </c>
      <c r="BA879" t="s">
        <v>74</v>
      </c>
      <c r="BB879">
        <v>389</v>
      </c>
      <c r="BC879">
        <v>403</v>
      </c>
      <c r="BD879" t="s">
        <v>74</v>
      </c>
      <c r="BE879" t="s">
        <v>74</v>
      </c>
      <c r="BF879" t="s">
        <v>74</v>
      </c>
      <c r="BG879" t="s">
        <v>74</v>
      </c>
      <c r="BH879" t="s">
        <v>74</v>
      </c>
      <c r="BI879">
        <v>15</v>
      </c>
      <c r="BJ879" t="s">
        <v>186</v>
      </c>
      <c r="BK879" t="s">
        <v>98</v>
      </c>
      <c r="BL879" t="s">
        <v>187</v>
      </c>
      <c r="BM879" t="s">
        <v>10587</v>
      </c>
      <c r="BN879" t="s">
        <v>74</v>
      </c>
      <c r="BO879" t="s">
        <v>74</v>
      </c>
      <c r="BP879" t="s">
        <v>74</v>
      </c>
      <c r="BQ879" t="s">
        <v>74</v>
      </c>
      <c r="BR879" t="s">
        <v>101</v>
      </c>
      <c r="BS879" t="s">
        <v>10588</v>
      </c>
      <c r="BT879" t="str">
        <f>HYPERLINK("https%3A%2F%2Fwww.webofscience.com%2Fwos%2Fwoscc%2Ffull-record%2FWOS:000071400300007","View Full Record in Web of Science")</f>
        <v>View Full Record in Web of Science</v>
      </c>
    </row>
    <row r="880" spans="1:72" x14ac:dyDescent="0.15">
      <c r="A880" t="s">
        <v>72</v>
      </c>
      <c r="B880" t="s">
        <v>10589</v>
      </c>
      <c r="C880" t="s">
        <v>74</v>
      </c>
      <c r="D880" t="s">
        <v>74</v>
      </c>
      <c r="E880" t="s">
        <v>74</v>
      </c>
      <c r="F880" t="s">
        <v>10589</v>
      </c>
      <c r="G880" t="s">
        <v>74</v>
      </c>
      <c r="H880" t="s">
        <v>74</v>
      </c>
      <c r="I880" t="s">
        <v>10590</v>
      </c>
      <c r="J880" t="s">
        <v>10591</v>
      </c>
      <c r="K880" t="s">
        <v>74</v>
      </c>
      <c r="L880" t="s">
        <v>74</v>
      </c>
      <c r="M880" t="s">
        <v>77</v>
      </c>
      <c r="N880" t="s">
        <v>78</v>
      </c>
      <c r="O880" t="s">
        <v>74</v>
      </c>
      <c r="P880" t="s">
        <v>74</v>
      </c>
      <c r="Q880" t="s">
        <v>74</v>
      </c>
      <c r="R880" t="s">
        <v>74</v>
      </c>
      <c r="S880" t="s">
        <v>74</v>
      </c>
      <c r="T880" t="s">
        <v>10592</v>
      </c>
      <c r="U880" t="s">
        <v>10593</v>
      </c>
      <c r="V880" t="s">
        <v>10594</v>
      </c>
      <c r="W880" t="s">
        <v>74</v>
      </c>
      <c r="X880" t="s">
        <v>74</v>
      </c>
      <c r="Y880" t="s">
        <v>10595</v>
      </c>
      <c r="Z880" t="s">
        <v>74</v>
      </c>
      <c r="AA880" t="s">
        <v>74</v>
      </c>
      <c r="AB880" t="s">
        <v>10596</v>
      </c>
      <c r="AC880" t="s">
        <v>74</v>
      </c>
      <c r="AD880" t="s">
        <v>74</v>
      </c>
      <c r="AE880" t="s">
        <v>74</v>
      </c>
      <c r="AF880" t="s">
        <v>74</v>
      </c>
      <c r="AG880">
        <v>77</v>
      </c>
      <c r="AH880">
        <v>30</v>
      </c>
      <c r="AI880">
        <v>32</v>
      </c>
      <c r="AJ880">
        <v>1</v>
      </c>
      <c r="AK880">
        <v>11</v>
      </c>
      <c r="AL880" t="s">
        <v>1692</v>
      </c>
      <c r="AM880" t="s">
        <v>214</v>
      </c>
      <c r="AN880" t="s">
        <v>1693</v>
      </c>
      <c r="AO880" t="s">
        <v>10597</v>
      </c>
      <c r="AP880" t="s">
        <v>10598</v>
      </c>
      <c r="AQ880" t="s">
        <v>74</v>
      </c>
      <c r="AR880" t="s">
        <v>10599</v>
      </c>
      <c r="AS880" t="s">
        <v>10600</v>
      </c>
      <c r="AT880" t="s">
        <v>9908</v>
      </c>
      <c r="AU880">
        <v>1997</v>
      </c>
      <c r="AV880">
        <v>46</v>
      </c>
      <c r="AW880">
        <v>3</v>
      </c>
      <c r="AX880" t="s">
        <v>74</v>
      </c>
      <c r="AY880" t="s">
        <v>74</v>
      </c>
      <c r="AZ880" t="s">
        <v>74</v>
      </c>
      <c r="BA880" t="s">
        <v>74</v>
      </c>
      <c r="BB880">
        <v>407</v>
      </c>
      <c r="BC880">
        <v>425</v>
      </c>
      <c r="BD880" t="s">
        <v>74</v>
      </c>
      <c r="BE880" t="s">
        <v>10601</v>
      </c>
      <c r="BF880" t="str">
        <f>HYPERLINK("http://dx.doi.org/10.2307/2413689","http://dx.doi.org/10.2307/2413689")</f>
        <v>http://dx.doi.org/10.2307/2413689</v>
      </c>
      <c r="BG880" t="s">
        <v>74</v>
      </c>
      <c r="BH880" t="s">
        <v>74</v>
      </c>
      <c r="BI880">
        <v>19</v>
      </c>
      <c r="BJ880" t="s">
        <v>10602</v>
      </c>
      <c r="BK880" t="s">
        <v>98</v>
      </c>
      <c r="BL880" t="s">
        <v>10602</v>
      </c>
      <c r="BM880" t="s">
        <v>10603</v>
      </c>
      <c r="BN880" t="s">
        <v>74</v>
      </c>
      <c r="BO880" t="s">
        <v>100</v>
      </c>
      <c r="BP880" t="s">
        <v>74</v>
      </c>
      <c r="BQ880" t="s">
        <v>74</v>
      </c>
      <c r="BR880" t="s">
        <v>101</v>
      </c>
      <c r="BS880" t="s">
        <v>10604</v>
      </c>
      <c r="BT880" t="str">
        <f>HYPERLINK("https%3A%2F%2Fwww.webofscience.com%2Fwos%2Fwoscc%2Ffull-record%2FWOS:A1997YA42300002","View Full Record in Web of Science")</f>
        <v>View Full Record in Web of Science</v>
      </c>
    </row>
    <row r="881" spans="1:72" x14ac:dyDescent="0.15">
      <c r="A881" t="s">
        <v>72</v>
      </c>
      <c r="B881" t="s">
        <v>10605</v>
      </c>
      <c r="C881" t="s">
        <v>74</v>
      </c>
      <c r="D881" t="s">
        <v>74</v>
      </c>
      <c r="E881" t="s">
        <v>74</v>
      </c>
      <c r="F881" t="s">
        <v>10605</v>
      </c>
      <c r="G881" t="s">
        <v>74</v>
      </c>
      <c r="H881" t="s">
        <v>74</v>
      </c>
      <c r="I881" t="s">
        <v>10606</v>
      </c>
      <c r="J881" t="s">
        <v>10607</v>
      </c>
      <c r="K881" t="s">
        <v>74</v>
      </c>
      <c r="L881" t="s">
        <v>74</v>
      </c>
      <c r="M881" t="s">
        <v>77</v>
      </c>
      <c r="N881" t="s">
        <v>78</v>
      </c>
      <c r="O881" t="s">
        <v>74</v>
      </c>
      <c r="P881" t="s">
        <v>74</v>
      </c>
      <c r="Q881" t="s">
        <v>74</v>
      </c>
      <c r="R881" t="s">
        <v>74</v>
      </c>
      <c r="S881" t="s">
        <v>74</v>
      </c>
      <c r="T881" t="s">
        <v>74</v>
      </c>
      <c r="U881" t="s">
        <v>10608</v>
      </c>
      <c r="V881" t="s">
        <v>10609</v>
      </c>
      <c r="W881" t="s">
        <v>74</v>
      </c>
      <c r="X881" t="s">
        <v>74</v>
      </c>
      <c r="Y881" t="s">
        <v>10610</v>
      </c>
      <c r="Z881" t="s">
        <v>74</v>
      </c>
      <c r="AA881" t="s">
        <v>10611</v>
      </c>
      <c r="AB881" t="s">
        <v>10612</v>
      </c>
      <c r="AC881" t="s">
        <v>74</v>
      </c>
      <c r="AD881" t="s">
        <v>74</v>
      </c>
      <c r="AE881" t="s">
        <v>74</v>
      </c>
      <c r="AF881" t="s">
        <v>74</v>
      </c>
      <c r="AG881">
        <v>48</v>
      </c>
      <c r="AH881">
        <v>120</v>
      </c>
      <c r="AI881">
        <v>131</v>
      </c>
      <c r="AJ881">
        <v>2</v>
      </c>
      <c r="AK881">
        <v>20</v>
      </c>
      <c r="AL881" t="s">
        <v>10613</v>
      </c>
      <c r="AM881" t="s">
        <v>201</v>
      </c>
      <c r="AN881" t="s">
        <v>10614</v>
      </c>
      <c r="AO881" t="s">
        <v>10615</v>
      </c>
      <c r="AP881" t="s">
        <v>10616</v>
      </c>
      <c r="AQ881" t="s">
        <v>74</v>
      </c>
      <c r="AR881" t="s">
        <v>10617</v>
      </c>
      <c r="AS881" t="s">
        <v>10618</v>
      </c>
      <c r="AT881" t="s">
        <v>9908</v>
      </c>
      <c r="AU881">
        <v>1997</v>
      </c>
      <c r="AV881">
        <v>15</v>
      </c>
      <c r="AW881">
        <v>9</v>
      </c>
      <c r="AX881" t="s">
        <v>74</v>
      </c>
      <c r="AY881" t="s">
        <v>74</v>
      </c>
      <c r="AZ881" t="s">
        <v>74</v>
      </c>
      <c r="BA881" t="s">
        <v>74</v>
      </c>
      <c r="BB881">
        <v>359</v>
      </c>
      <c r="BC881">
        <v>364</v>
      </c>
      <c r="BD881" t="s">
        <v>74</v>
      </c>
      <c r="BE881" t="s">
        <v>10619</v>
      </c>
      <c r="BF881" t="str">
        <f>HYPERLINK("http://dx.doi.org/10.1016/S0167-7799(97)01086-X","http://dx.doi.org/10.1016/S0167-7799(97)01086-X")</f>
        <v>http://dx.doi.org/10.1016/S0167-7799(97)01086-X</v>
      </c>
      <c r="BG881" t="s">
        <v>74</v>
      </c>
      <c r="BH881" t="s">
        <v>74</v>
      </c>
      <c r="BI881">
        <v>6</v>
      </c>
      <c r="BJ881" t="s">
        <v>1282</v>
      </c>
      <c r="BK881" t="s">
        <v>98</v>
      </c>
      <c r="BL881" t="s">
        <v>1282</v>
      </c>
      <c r="BM881" t="s">
        <v>10620</v>
      </c>
      <c r="BN881">
        <v>9293034</v>
      </c>
      <c r="BO881" t="s">
        <v>74</v>
      </c>
      <c r="BP881" t="s">
        <v>74</v>
      </c>
      <c r="BQ881" t="s">
        <v>74</v>
      </c>
      <c r="BR881" t="s">
        <v>101</v>
      </c>
      <c r="BS881" t="s">
        <v>10621</v>
      </c>
      <c r="BT881" t="str">
        <f>HYPERLINK("https%3A%2F%2Fwww.webofscience.com%2Fwos%2Fwoscc%2Ffull-record%2FWOS:A1997XU04600009","View Full Record in Web of Science")</f>
        <v>View Full Record in Web of Science</v>
      </c>
    </row>
    <row r="882" spans="1:72" x14ac:dyDescent="0.15">
      <c r="A882" t="s">
        <v>72</v>
      </c>
      <c r="B882" t="s">
        <v>10622</v>
      </c>
      <c r="C882" t="s">
        <v>74</v>
      </c>
      <c r="D882" t="s">
        <v>74</v>
      </c>
      <c r="E882" t="s">
        <v>74</v>
      </c>
      <c r="F882" t="s">
        <v>10622</v>
      </c>
      <c r="G882" t="s">
        <v>74</v>
      </c>
      <c r="H882" t="s">
        <v>74</v>
      </c>
      <c r="I882" t="s">
        <v>10623</v>
      </c>
      <c r="J882" t="s">
        <v>10624</v>
      </c>
      <c r="K882" t="s">
        <v>74</v>
      </c>
      <c r="L882" t="s">
        <v>74</v>
      </c>
      <c r="M882" t="s">
        <v>77</v>
      </c>
      <c r="N882" t="s">
        <v>212</v>
      </c>
      <c r="O882" t="s">
        <v>74</v>
      </c>
      <c r="P882" t="s">
        <v>74</v>
      </c>
      <c r="Q882" t="s">
        <v>74</v>
      </c>
      <c r="R882" t="s">
        <v>74</v>
      </c>
      <c r="S882" t="s">
        <v>74</v>
      </c>
      <c r="T882" t="s">
        <v>74</v>
      </c>
      <c r="U882" t="s">
        <v>10625</v>
      </c>
      <c r="V882" t="s">
        <v>74</v>
      </c>
      <c r="W882" t="s">
        <v>74</v>
      </c>
      <c r="X882" t="s">
        <v>74</v>
      </c>
      <c r="Y882" t="s">
        <v>10626</v>
      </c>
      <c r="Z882" t="s">
        <v>74</v>
      </c>
      <c r="AA882" t="s">
        <v>74</v>
      </c>
      <c r="AB882" t="s">
        <v>74</v>
      </c>
      <c r="AC882" t="s">
        <v>74</v>
      </c>
      <c r="AD882" t="s">
        <v>74</v>
      </c>
      <c r="AE882" t="s">
        <v>74</v>
      </c>
      <c r="AF882" t="s">
        <v>74</v>
      </c>
      <c r="AG882">
        <v>15</v>
      </c>
      <c r="AH882">
        <v>2</v>
      </c>
      <c r="AI882">
        <v>2</v>
      </c>
      <c r="AJ882">
        <v>0</v>
      </c>
      <c r="AK882">
        <v>11</v>
      </c>
      <c r="AL882" t="s">
        <v>1363</v>
      </c>
      <c r="AM882" t="s">
        <v>214</v>
      </c>
      <c r="AN882" t="s">
        <v>10627</v>
      </c>
      <c r="AO882" t="s">
        <v>10628</v>
      </c>
      <c r="AP882" t="s">
        <v>74</v>
      </c>
      <c r="AQ882" t="s">
        <v>74</v>
      </c>
      <c r="AR882" t="s">
        <v>10629</v>
      </c>
      <c r="AS882" t="s">
        <v>10630</v>
      </c>
      <c r="AT882" t="s">
        <v>9908</v>
      </c>
      <c r="AU882">
        <v>1997</v>
      </c>
      <c r="AV882">
        <v>12</v>
      </c>
      <c r="AW882">
        <v>9</v>
      </c>
      <c r="AX882" t="s">
        <v>74</v>
      </c>
      <c r="AY882" t="s">
        <v>74</v>
      </c>
      <c r="AZ882" t="s">
        <v>74</v>
      </c>
      <c r="BA882" t="s">
        <v>74</v>
      </c>
      <c r="BB882">
        <v>333</v>
      </c>
      <c r="BC882">
        <v>334</v>
      </c>
      <c r="BD882" t="s">
        <v>74</v>
      </c>
      <c r="BE882" t="s">
        <v>10631</v>
      </c>
      <c r="BF882" t="str">
        <f>HYPERLINK("http://dx.doi.org/10.1016/S0169-5347(97)01136-1","http://dx.doi.org/10.1016/S0169-5347(97)01136-1")</f>
        <v>http://dx.doi.org/10.1016/S0169-5347(97)01136-1</v>
      </c>
      <c r="BG882" t="s">
        <v>74</v>
      </c>
      <c r="BH882" t="s">
        <v>74</v>
      </c>
      <c r="BI882">
        <v>2</v>
      </c>
      <c r="BJ882" t="s">
        <v>10632</v>
      </c>
      <c r="BK882" t="s">
        <v>98</v>
      </c>
      <c r="BL882" t="s">
        <v>10633</v>
      </c>
      <c r="BM882" t="s">
        <v>10634</v>
      </c>
      <c r="BN882">
        <v>21238095</v>
      </c>
      <c r="BO882" t="s">
        <v>74</v>
      </c>
      <c r="BP882" t="s">
        <v>74</v>
      </c>
      <c r="BQ882" t="s">
        <v>74</v>
      </c>
      <c r="BR882" t="s">
        <v>101</v>
      </c>
      <c r="BS882" t="s">
        <v>10635</v>
      </c>
      <c r="BT882" t="str">
        <f>HYPERLINK("https%3A%2F%2Fwww.webofscience.com%2Fwos%2Fwoscc%2Ffull-record%2FWOS:A1997XR63100001","View Full Record in Web of Science")</f>
        <v>View Full Record in Web of Science</v>
      </c>
    </row>
    <row r="883" spans="1:72" x14ac:dyDescent="0.15">
      <c r="A883" t="s">
        <v>72</v>
      </c>
      <c r="B883" t="s">
        <v>10636</v>
      </c>
      <c r="C883" t="s">
        <v>74</v>
      </c>
      <c r="D883" t="s">
        <v>74</v>
      </c>
      <c r="E883" t="s">
        <v>74</v>
      </c>
      <c r="F883" t="s">
        <v>10636</v>
      </c>
      <c r="G883" t="s">
        <v>74</v>
      </c>
      <c r="H883" t="s">
        <v>74</v>
      </c>
      <c r="I883" t="s">
        <v>10637</v>
      </c>
      <c r="J883" t="s">
        <v>170</v>
      </c>
      <c r="K883" t="s">
        <v>74</v>
      </c>
      <c r="L883" t="s">
        <v>74</v>
      </c>
      <c r="M883" t="s">
        <v>77</v>
      </c>
      <c r="N883" t="s">
        <v>78</v>
      </c>
      <c r="O883" t="s">
        <v>74</v>
      </c>
      <c r="P883" t="s">
        <v>74</v>
      </c>
      <c r="Q883" t="s">
        <v>74</v>
      </c>
      <c r="R883" t="s">
        <v>74</v>
      </c>
      <c r="S883" t="s">
        <v>74</v>
      </c>
      <c r="T883" t="s">
        <v>74</v>
      </c>
      <c r="U883" t="s">
        <v>10638</v>
      </c>
      <c r="V883" t="s">
        <v>10639</v>
      </c>
      <c r="W883" t="s">
        <v>10640</v>
      </c>
      <c r="X883" t="s">
        <v>10641</v>
      </c>
      <c r="Y883" t="s">
        <v>10642</v>
      </c>
      <c r="Z883" t="s">
        <v>74</v>
      </c>
      <c r="AA883" t="s">
        <v>9148</v>
      </c>
      <c r="AB883" t="s">
        <v>9149</v>
      </c>
      <c r="AC883" t="s">
        <v>74</v>
      </c>
      <c r="AD883" t="s">
        <v>74</v>
      </c>
      <c r="AE883" t="s">
        <v>74</v>
      </c>
      <c r="AF883" t="s">
        <v>74</v>
      </c>
      <c r="AG883">
        <v>49</v>
      </c>
      <c r="AH883">
        <v>158</v>
      </c>
      <c r="AI883">
        <v>168</v>
      </c>
      <c r="AJ883">
        <v>1</v>
      </c>
      <c r="AK883">
        <v>11</v>
      </c>
      <c r="AL883" t="s">
        <v>179</v>
      </c>
      <c r="AM883" t="s">
        <v>88</v>
      </c>
      <c r="AN883" t="s">
        <v>8238</v>
      </c>
      <c r="AO883" t="s">
        <v>181</v>
      </c>
      <c r="AP883" t="s">
        <v>74</v>
      </c>
      <c r="AQ883" t="s">
        <v>74</v>
      </c>
      <c r="AR883" t="s">
        <v>170</v>
      </c>
      <c r="AS883" t="s">
        <v>183</v>
      </c>
      <c r="AT883" t="s">
        <v>10643</v>
      </c>
      <c r="AU883">
        <v>1997</v>
      </c>
      <c r="AV883">
        <v>277</v>
      </c>
      <c r="AW883">
        <v>5330</v>
      </c>
      <c r="AX883" t="s">
        <v>74</v>
      </c>
      <c r="AY883" t="s">
        <v>74</v>
      </c>
      <c r="AZ883" t="s">
        <v>74</v>
      </c>
      <c r="BA883" t="s">
        <v>74</v>
      </c>
      <c r="BB883">
        <v>1268</v>
      </c>
      <c r="BC883">
        <v>1274</v>
      </c>
      <c r="BD883" t="s">
        <v>74</v>
      </c>
      <c r="BE883" t="s">
        <v>10644</v>
      </c>
      <c r="BF883" t="str">
        <f>HYPERLINK("http://dx.doi.org/10.1126/science.277.5330.1268","http://dx.doi.org/10.1126/science.277.5330.1268")</f>
        <v>http://dx.doi.org/10.1126/science.277.5330.1268</v>
      </c>
      <c r="BG883" t="s">
        <v>74</v>
      </c>
      <c r="BH883" t="s">
        <v>74</v>
      </c>
      <c r="BI883">
        <v>7</v>
      </c>
      <c r="BJ883" t="s">
        <v>186</v>
      </c>
      <c r="BK883" t="s">
        <v>98</v>
      </c>
      <c r="BL883" t="s">
        <v>187</v>
      </c>
      <c r="BM883" t="s">
        <v>10645</v>
      </c>
      <c r="BN883" t="s">
        <v>74</v>
      </c>
      <c r="BO883" t="s">
        <v>74</v>
      </c>
      <c r="BP883" t="s">
        <v>74</v>
      </c>
      <c r="BQ883" t="s">
        <v>74</v>
      </c>
      <c r="BR883" t="s">
        <v>101</v>
      </c>
      <c r="BS883" t="s">
        <v>10646</v>
      </c>
      <c r="BT883" t="str">
        <f>HYPERLINK("https%3A%2F%2Fwww.webofscience.com%2Fwos%2Fwoscc%2Ffull-record%2FWOS:A1997XT82700044","View Full Record in Web of Science")</f>
        <v>View Full Record in Web of Science</v>
      </c>
    </row>
    <row r="884" spans="1:72" x14ac:dyDescent="0.15">
      <c r="A884" t="s">
        <v>72</v>
      </c>
      <c r="B884" t="s">
        <v>10647</v>
      </c>
      <c r="C884" t="s">
        <v>74</v>
      </c>
      <c r="D884" t="s">
        <v>74</v>
      </c>
      <c r="E884" t="s">
        <v>74</v>
      </c>
      <c r="F884" t="s">
        <v>10647</v>
      </c>
      <c r="G884" t="s">
        <v>74</v>
      </c>
      <c r="H884" t="s">
        <v>74</v>
      </c>
      <c r="I884" t="s">
        <v>10648</v>
      </c>
      <c r="J884" t="s">
        <v>10649</v>
      </c>
      <c r="K884" t="s">
        <v>74</v>
      </c>
      <c r="L884" t="s">
        <v>74</v>
      </c>
      <c r="M884" t="s">
        <v>77</v>
      </c>
      <c r="N884" t="s">
        <v>78</v>
      </c>
      <c r="O884" t="s">
        <v>74</v>
      </c>
      <c r="P884" t="s">
        <v>74</v>
      </c>
      <c r="Q884" t="s">
        <v>74</v>
      </c>
      <c r="R884" t="s">
        <v>74</v>
      </c>
      <c r="S884" t="s">
        <v>74</v>
      </c>
      <c r="T884" t="s">
        <v>74</v>
      </c>
      <c r="U884" t="s">
        <v>10650</v>
      </c>
      <c r="V884" t="s">
        <v>10651</v>
      </c>
      <c r="W884" t="s">
        <v>10652</v>
      </c>
      <c r="X884" t="s">
        <v>8587</v>
      </c>
      <c r="Y884" t="s">
        <v>10653</v>
      </c>
      <c r="Z884" t="s">
        <v>74</v>
      </c>
      <c r="AA884" t="s">
        <v>10654</v>
      </c>
      <c r="AB884" t="s">
        <v>10655</v>
      </c>
      <c r="AC884" t="s">
        <v>74</v>
      </c>
      <c r="AD884" t="s">
        <v>74</v>
      </c>
      <c r="AE884" t="s">
        <v>74</v>
      </c>
      <c r="AF884" t="s">
        <v>74</v>
      </c>
      <c r="AG884">
        <v>7</v>
      </c>
      <c r="AH884">
        <v>5</v>
      </c>
      <c r="AI884">
        <v>5</v>
      </c>
      <c r="AJ884">
        <v>0</v>
      </c>
      <c r="AK884">
        <v>2</v>
      </c>
      <c r="AL884" t="s">
        <v>10656</v>
      </c>
      <c r="AM884" t="s">
        <v>88</v>
      </c>
      <c r="AN884" t="s">
        <v>10657</v>
      </c>
      <c r="AO884" t="s">
        <v>10658</v>
      </c>
      <c r="AP884" t="s">
        <v>74</v>
      </c>
      <c r="AQ884" t="s">
        <v>74</v>
      </c>
      <c r="AR884" t="s">
        <v>10659</v>
      </c>
      <c r="AS884" t="s">
        <v>10660</v>
      </c>
      <c r="AT884" t="s">
        <v>10661</v>
      </c>
      <c r="AU884">
        <v>1997</v>
      </c>
      <c r="AV884">
        <v>36</v>
      </c>
      <c r="AW884">
        <v>24</v>
      </c>
      <c r="AX884" t="s">
        <v>74</v>
      </c>
      <c r="AY884" t="s">
        <v>74</v>
      </c>
      <c r="AZ884" t="s">
        <v>74</v>
      </c>
      <c r="BA884" t="s">
        <v>74</v>
      </c>
      <c r="BB884">
        <v>6069</v>
      </c>
      <c r="BC884">
        <v>6075</v>
      </c>
      <c r="BD884" t="s">
        <v>74</v>
      </c>
      <c r="BE884" t="s">
        <v>10662</v>
      </c>
      <c r="BF884" t="str">
        <f>HYPERLINK("http://dx.doi.org/10.1364/AO.36.006069","http://dx.doi.org/10.1364/AO.36.006069")</f>
        <v>http://dx.doi.org/10.1364/AO.36.006069</v>
      </c>
      <c r="BG884" t="s">
        <v>74</v>
      </c>
      <c r="BH884" t="s">
        <v>74</v>
      </c>
      <c r="BI884">
        <v>7</v>
      </c>
      <c r="BJ884" t="s">
        <v>10663</v>
      </c>
      <c r="BK884" t="s">
        <v>98</v>
      </c>
      <c r="BL884" t="s">
        <v>10663</v>
      </c>
      <c r="BM884" t="s">
        <v>10664</v>
      </c>
      <c r="BN884">
        <v>18259452</v>
      </c>
      <c r="BO884" t="s">
        <v>74</v>
      </c>
      <c r="BP884" t="s">
        <v>74</v>
      </c>
      <c r="BQ884" t="s">
        <v>74</v>
      </c>
      <c r="BR884" t="s">
        <v>101</v>
      </c>
      <c r="BS884" t="s">
        <v>10665</v>
      </c>
      <c r="BT884" t="str">
        <f>HYPERLINK("https%3A%2F%2Fwww.webofscience.com%2Fwos%2Fwoscc%2Ffull-record%2FWOS:A1997XR27100042","View Full Record in Web of Science")</f>
        <v>View Full Record in Web of Science</v>
      </c>
    </row>
    <row r="885" spans="1:72" x14ac:dyDescent="0.15">
      <c r="A885" t="s">
        <v>72</v>
      </c>
      <c r="B885" t="s">
        <v>10666</v>
      </c>
      <c r="C885" t="s">
        <v>74</v>
      </c>
      <c r="D885" t="s">
        <v>74</v>
      </c>
      <c r="E885" t="s">
        <v>74</v>
      </c>
      <c r="F885" t="s">
        <v>10666</v>
      </c>
      <c r="G885" t="s">
        <v>74</v>
      </c>
      <c r="H885" t="s">
        <v>74</v>
      </c>
      <c r="I885" t="s">
        <v>10667</v>
      </c>
      <c r="J885" t="s">
        <v>994</v>
      </c>
      <c r="K885" t="s">
        <v>74</v>
      </c>
      <c r="L885" t="s">
        <v>74</v>
      </c>
      <c r="M885" t="s">
        <v>77</v>
      </c>
      <c r="N885" t="s">
        <v>78</v>
      </c>
      <c r="O885" t="s">
        <v>74</v>
      </c>
      <c r="P885" t="s">
        <v>74</v>
      </c>
      <c r="Q885" t="s">
        <v>74</v>
      </c>
      <c r="R885" t="s">
        <v>74</v>
      </c>
      <c r="S885" t="s">
        <v>74</v>
      </c>
      <c r="T885" t="s">
        <v>74</v>
      </c>
      <c r="U885" t="s">
        <v>10668</v>
      </c>
      <c r="V885" t="s">
        <v>10669</v>
      </c>
      <c r="W885" t="s">
        <v>10670</v>
      </c>
      <c r="X885" t="s">
        <v>322</v>
      </c>
      <c r="Y885" t="s">
        <v>10671</v>
      </c>
      <c r="Z885" t="s">
        <v>74</v>
      </c>
      <c r="AA885" t="s">
        <v>74</v>
      </c>
      <c r="AB885" t="s">
        <v>74</v>
      </c>
      <c r="AC885" t="s">
        <v>74</v>
      </c>
      <c r="AD885" t="s">
        <v>74</v>
      </c>
      <c r="AE885" t="s">
        <v>74</v>
      </c>
      <c r="AF885" t="s">
        <v>74</v>
      </c>
      <c r="AG885">
        <v>30</v>
      </c>
      <c r="AH885">
        <v>35</v>
      </c>
      <c r="AI885">
        <v>41</v>
      </c>
      <c r="AJ885">
        <v>1</v>
      </c>
      <c r="AK885">
        <v>5</v>
      </c>
      <c r="AL885" t="s">
        <v>87</v>
      </c>
      <c r="AM885" t="s">
        <v>88</v>
      </c>
      <c r="AN885" t="s">
        <v>89</v>
      </c>
      <c r="AO885" t="s">
        <v>1001</v>
      </c>
      <c r="AP885" t="s">
        <v>2036</v>
      </c>
      <c r="AQ885" t="s">
        <v>74</v>
      </c>
      <c r="AR885" t="s">
        <v>1002</v>
      </c>
      <c r="AS885" t="s">
        <v>1003</v>
      </c>
      <c r="AT885" t="s">
        <v>10661</v>
      </c>
      <c r="AU885">
        <v>1997</v>
      </c>
      <c r="AV885">
        <v>102</v>
      </c>
      <c r="AW885" t="s">
        <v>10672</v>
      </c>
      <c r="AX885" t="s">
        <v>74</v>
      </c>
      <c r="AY885" t="s">
        <v>74</v>
      </c>
      <c r="AZ885" t="s">
        <v>74</v>
      </c>
      <c r="BA885" t="s">
        <v>74</v>
      </c>
      <c r="BB885">
        <v>19089</v>
      </c>
      <c r="BC885">
        <v>19097</v>
      </c>
      <c r="BD885" t="s">
        <v>74</v>
      </c>
      <c r="BE885" t="s">
        <v>10673</v>
      </c>
      <c r="BF885" t="str">
        <f>HYPERLINK("http://dx.doi.org/10.1029/97JD00603","http://dx.doi.org/10.1029/97JD00603")</f>
        <v>http://dx.doi.org/10.1029/97JD00603</v>
      </c>
      <c r="BG885" t="s">
        <v>74</v>
      </c>
      <c r="BH885" t="s">
        <v>74</v>
      </c>
      <c r="BI885">
        <v>9</v>
      </c>
      <c r="BJ885" t="s">
        <v>635</v>
      </c>
      <c r="BK885" t="s">
        <v>98</v>
      </c>
      <c r="BL885" t="s">
        <v>635</v>
      </c>
      <c r="BM885" t="s">
        <v>10674</v>
      </c>
      <c r="BN885" t="s">
        <v>74</v>
      </c>
      <c r="BO885" t="s">
        <v>100</v>
      </c>
      <c r="BP885" t="s">
        <v>74</v>
      </c>
      <c r="BQ885" t="s">
        <v>74</v>
      </c>
      <c r="BR885" t="s">
        <v>101</v>
      </c>
      <c r="BS885" t="s">
        <v>10675</v>
      </c>
      <c r="BT885" t="str">
        <f>HYPERLINK("https%3A%2F%2Fwww.webofscience.com%2Fwos%2Fwoscc%2Ffull-record%2FWOS:A1997XT10100022","View Full Record in Web of Science")</f>
        <v>View Full Record in Web of Science</v>
      </c>
    </row>
    <row r="886" spans="1:72" x14ac:dyDescent="0.15">
      <c r="A886" t="s">
        <v>72</v>
      </c>
      <c r="B886" t="s">
        <v>10676</v>
      </c>
      <c r="C886" t="s">
        <v>74</v>
      </c>
      <c r="D886" t="s">
        <v>74</v>
      </c>
      <c r="E886" t="s">
        <v>74</v>
      </c>
      <c r="F886" t="s">
        <v>10676</v>
      </c>
      <c r="G886" t="s">
        <v>74</v>
      </c>
      <c r="H886" t="s">
        <v>74</v>
      </c>
      <c r="I886" t="s">
        <v>10677</v>
      </c>
      <c r="J886" t="s">
        <v>994</v>
      </c>
      <c r="K886" t="s">
        <v>74</v>
      </c>
      <c r="L886" t="s">
        <v>74</v>
      </c>
      <c r="M886" t="s">
        <v>77</v>
      </c>
      <c r="N886" t="s">
        <v>78</v>
      </c>
      <c r="O886" t="s">
        <v>74</v>
      </c>
      <c r="P886" t="s">
        <v>74</v>
      </c>
      <c r="Q886" t="s">
        <v>74</v>
      </c>
      <c r="R886" t="s">
        <v>74</v>
      </c>
      <c r="S886" t="s">
        <v>74</v>
      </c>
      <c r="T886" t="s">
        <v>74</v>
      </c>
      <c r="U886" t="s">
        <v>10678</v>
      </c>
      <c r="V886" t="s">
        <v>10679</v>
      </c>
      <c r="W886" t="s">
        <v>10680</v>
      </c>
      <c r="X886" t="s">
        <v>3985</v>
      </c>
      <c r="Y886" t="s">
        <v>10681</v>
      </c>
      <c r="Z886" t="s">
        <v>74</v>
      </c>
      <c r="AA886" t="s">
        <v>74</v>
      </c>
      <c r="AB886" t="s">
        <v>74</v>
      </c>
      <c r="AC886" t="s">
        <v>74</v>
      </c>
      <c r="AD886" t="s">
        <v>74</v>
      </c>
      <c r="AE886" t="s">
        <v>74</v>
      </c>
      <c r="AF886" t="s">
        <v>74</v>
      </c>
      <c r="AG886">
        <v>41</v>
      </c>
      <c r="AH886">
        <v>10</v>
      </c>
      <c r="AI886">
        <v>10</v>
      </c>
      <c r="AJ886">
        <v>0</v>
      </c>
      <c r="AK886">
        <v>1</v>
      </c>
      <c r="AL886" t="s">
        <v>87</v>
      </c>
      <c r="AM886" t="s">
        <v>88</v>
      </c>
      <c r="AN886" t="s">
        <v>89</v>
      </c>
      <c r="AO886" t="s">
        <v>1001</v>
      </c>
      <c r="AP886" t="s">
        <v>2036</v>
      </c>
      <c r="AQ886" t="s">
        <v>74</v>
      </c>
      <c r="AR886" t="s">
        <v>1002</v>
      </c>
      <c r="AS886" t="s">
        <v>1003</v>
      </c>
      <c r="AT886" t="s">
        <v>10661</v>
      </c>
      <c r="AU886">
        <v>1997</v>
      </c>
      <c r="AV886">
        <v>102</v>
      </c>
      <c r="AW886" t="s">
        <v>10672</v>
      </c>
      <c r="AX886" t="s">
        <v>74</v>
      </c>
      <c r="AY886" t="s">
        <v>74</v>
      </c>
      <c r="AZ886" t="s">
        <v>74</v>
      </c>
      <c r="BA886" t="s">
        <v>74</v>
      </c>
      <c r="BB886">
        <v>19161</v>
      </c>
      <c r="BC886">
        <v>19170</v>
      </c>
      <c r="BD886" t="s">
        <v>74</v>
      </c>
      <c r="BE886" t="s">
        <v>10682</v>
      </c>
      <c r="BF886" t="str">
        <f>HYPERLINK("http://dx.doi.org/10.1029/97JD01077","http://dx.doi.org/10.1029/97JD01077")</f>
        <v>http://dx.doi.org/10.1029/97JD01077</v>
      </c>
      <c r="BG886" t="s">
        <v>74</v>
      </c>
      <c r="BH886" t="s">
        <v>74</v>
      </c>
      <c r="BI886">
        <v>10</v>
      </c>
      <c r="BJ886" t="s">
        <v>635</v>
      </c>
      <c r="BK886" t="s">
        <v>98</v>
      </c>
      <c r="BL886" t="s">
        <v>635</v>
      </c>
      <c r="BM886" t="s">
        <v>10674</v>
      </c>
      <c r="BN886" t="s">
        <v>74</v>
      </c>
      <c r="BO886" t="s">
        <v>74</v>
      </c>
      <c r="BP886" t="s">
        <v>74</v>
      </c>
      <c r="BQ886" t="s">
        <v>74</v>
      </c>
      <c r="BR886" t="s">
        <v>101</v>
      </c>
      <c r="BS886" t="s">
        <v>10683</v>
      </c>
      <c r="BT886" t="str">
        <f>HYPERLINK("https%3A%2F%2Fwww.webofscience.com%2Fwos%2Fwoscc%2Ffull-record%2FWOS:A1997XT10100028","View Full Record in Web of Science")</f>
        <v>View Full Record in Web of Science</v>
      </c>
    </row>
    <row r="887" spans="1:72" x14ac:dyDescent="0.15">
      <c r="A887" t="s">
        <v>72</v>
      </c>
      <c r="B887" t="s">
        <v>10684</v>
      </c>
      <c r="C887" t="s">
        <v>74</v>
      </c>
      <c r="D887" t="s">
        <v>74</v>
      </c>
      <c r="E887" t="s">
        <v>74</v>
      </c>
      <c r="F887" t="s">
        <v>10684</v>
      </c>
      <c r="G887" t="s">
        <v>74</v>
      </c>
      <c r="H887" t="s">
        <v>74</v>
      </c>
      <c r="I887" t="s">
        <v>10685</v>
      </c>
      <c r="J887" t="s">
        <v>10686</v>
      </c>
      <c r="K887" t="s">
        <v>74</v>
      </c>
      <c r="L887" t="s">
        <v>74</v>
      </c>
      <c r="M887" t="s">
        <v>77</v>
      </c>
      <c r="N887" t="s">
        <v>78</v>
      </c>
      <c r="O887" t="s">
        <v>74</v>
      </c>
      <c r="P887" t="s">
        <v>74</v>
      </c>
      <c r="Q887" t="s">
        <v>74</v>
      </c>
      <c r="R887" t="s">
        <v>74</v>
      </c>
      <c r="S887" t="s">
        <v>74</v>
      </c>
      <c r="T887" t="s">
        <v>10687</v>
      </c>
      <c r="U887" t="s">
        <v>10688</v>
      </c>
      <c r="V887" t="s">
        <v>10689</v>
      </c>
      <c r="W887" t="s">
        <v>10690</v>
      </c>
      <c r="X887" t="s">
        <v>10691</v>
      </c>
      <c r="Y887" t="s">
        <v>10692</v>
      </c>
      <c r="Z887" t="s">
        <v>74</v>
      </c>
      <c r="AA887" t="s">
        <v>10693</v>
      </c>
      <c r="AB887" t="s">
        <v>10694</v>
      </c>
      <c r="AC887" t="s">
        <v>74</v>
      </c>
      <c r="AD887" t="s">
        <v>74</v>
      </c>
      <c r="AE887" t="s">
        <v>74</v>
      </c>
      <c r="AF887" t="s">
        <v>74</v>
      </c>
      <c r="AG887">
        <v>44</v>
      </c>
      <c r="AH887">
        <v>34</v>
      </c>
      <c r="AI887">
        <v>35</v>
      </c>
      <c r="AJ887">
        <v>0</v>
      </c>
      <c r="AK887">
        <v>23</v>
      </c>
      <c r="AL887" t="s">
        <v>1029</v>
      </c>
      <c r="AM887" t="s">
        <v>1030</v>
      </c>
      <c r="AN887" t="s">
        <v>1031</v>
      </c>
      <c r="AO887" t="s">
        <v>10695</v>
      </c>
      <c r="AP887" t="s">
        <v>74</v>
      </c>
      <c r="AQ887" t="s">
        <v>74</v>
      </c>
      <c r="AR887" t="s">
        <v>10696</v>
      </c>
      <c r="AS887" t="s">
        <v>10697</v>
      </c>
      <c r="AT887" t="s">
        <v>10698</v>
      </c>
      <c r="AU887">
        <v>1997</v>
      </c>
      <c r="AV887">
        <v>1347</v>
      </c>
      <c r="AW887" t="s">
        <v>1508</v>
      </c>
      <c r="AX887" t="s">
        <v>74</v>
      </c>
      <c r="AY887" t="s">
        <v>74</v>
      </c>
      <c r="AZ887" t="s">
        <v>74</v>
      </c>
      <c r="BA887" t="s">
        <v>74</v>
      </c>
      <c r="BB887">
        <v>164</v>
      </c>
      <c r="BC887">
        <v>176</v>
      </c>
      <c r="BD887" t="s">
        <v>74</v>
      </c>
      <c r="BE887" t="s">
        <v>10699</v>
      </c>
      <c r="BF887" t="str">
        <f>HYPERLINK("http://dx.doi.org/10.1016/S0005-2760(97)00068-4","http://dx.doi.org/10.1016/S0005-2760(97)00068-4")</f>
        <v>http://dx.doi.org/10.1016/S0005-2760(97)00068-4</v>
      </c>
      <c r="BG887" t="s">
        <v>74</v>
      </c>
      <c r="BH887" t="s">
        <v>74</v>
      </c>
      <c r="BI887">
        <v>13</v>
      </c>
      <c r="BJ887" t="s">
        <v>7774</v>
      </c>
      <c r="BK887" t="s">
        <v>98</v>
      </c>
      <c r="BL887" t="s">
        <v>7774</v>
      </c>
      <c r="BM887" t="s">
        <v>10700</v>
      </c>
      <c r="BN887">
        <v>9295160</v>
      </c>
      <c r="BO887" t="s">
        <v>74</v>
      </c>
      <c r="BP887" t="s">
        <v>74</v>
      </c>
      <c r="BQ887" t="s">
        <v>74</v>
      </c>
      <c r="BR887" t="s">
        <v>101</v>
      </c>
      <c r="BS887" t="s">
        <v>10701</v>
      </c>
      <c r="BT887" t="str">
        <f>HYPERLINK("https%3A%2F%2Fwww.webofscience.com%2Fwos%2Fwoscc%2Ffull-record%2FWOS:A1997XU60100005","View Full Record in Web of Science")</f>
        <v>View Full Record in Web of Science</v>
      </c>
    </row>
    <row r="888" spans="1:72" x14ac:dyDescent="0.15">
      <c r="A888" t="s">
        <v>72</v>
      </c>
      <c r="B888" t="s">
        <v>10702</v>
      </c>
      <c r="C888" t="s">
        <v>74</v>
      </c>
      <c r="D888" t="s">
        <v>74</v>
      </c>
      <c r="E888" t="s">
        <v>74</v>
      </c>
      <c r="F888" t="s">
        <v>10702</v>
      </c>
      <c r="G888" t="s">
        <v>74</v>
      </c>
      <c r="H888" t="s">
        <v>74</v>
      </c>
      <c r="I888" t="s">
        <v>10703</v>
      </c>
      <c r="J888" t="s">
        <v>10704</v>
      </c>
      <c r="K888" t="s">
        <v>74</v>
      </c>
      <c r="L888" t="s">
        <v>74</v>
      </c>
      <c r="M888" t="s">
        <v>77</v>
      </c>
      <c r="N888" t="s">
        <v>78</v>
      </c>
      <c r="O888" t="s">
        <v>74</v>
      </c>
      <c r="P888" t="s">
        <v>74</v>
      </c>
      <c r="Q888" t="s">
        <v>74</v>
      </c>
      <c r="R888" t="s">
        <v>74</v>
      </c>
      <c r="S888" t="s">
        <v>74</v>
      </c>
      <c r="T888" t="s">
        <v>10705</v>
      </c>
      <c r="U888" t="s">
        <v>10706</v>
      </c>
      <c r="V888" t="s">
        <v>10707</v>
      </c>
      <c r="W888" t="s">
        <v>10708</v>
      </c>
      <c r="X888" t="s">
        <v>10709</v>
      </c>
      <c r="Y888" t="s">
        <v>74</v>
      </c>
      <c r="Z888" t="s">
        <v>74</v>
      </c>
      <c r="AA888" t="s">
        <v>74</v>
      </c>
      <c r="AB888" t="s">
        <v>74</v>
      </c>
      <c r="AC888" t="s">
        <v>74</v>
      </c>
      <c r="AD888" t="s">
        <v>74</v>
      </c>
      <c r="AE888" t="s">
        <v>74</v>
      </c>
      <c r="AF888" t="s">
        <v>74</v>
      </c>
      <c r="AG888">
        <v>29</v>
      </c>
      <c r="AH888">
        <v>74</v>
      </c>
      <c r="AI888">
        <v>84</v>
      </c>
      <c r="AJ888">
        <v>0</v>
      </c>
      <c r="AK888">
        <v>4</v>
      </c>
      <c r="AL888" t="s">
        <v>897</v>
      </c>
      <c r="AM888" t="s">
        <v>244</v>
      </c>
      <c r="AN888" t="s">
        <v>7783</v>
      </c>
      <c r="AO888" t="s">
        <v>10710</v>
      </c>
      <c r="AP888" t="s">
        <v>74</v>
      </c>
      <c r="AQ888" t="s">
        <v>74</v>
      </c>
      <c r="AR888" t="s">
        <v>10711</v>
      </c>
      <c r="AS888" t="s">
        <v>10712</v>
      </c>
      <c r="AT888" t="s">
        <v>10713</v>
      </c>
      <c r="AU888">
        <v>1997</v>
      </c>
      <c r="AV888">
        <v>248</v>
      </c>
      <c r="AW888">
        <v>1</v>
      </c>
      <c r="AX888" t="s">
        <v>74</v>
      </c>
      <c r="AY888" t="s">
        <v>74</v>
      </c>
      <c r="AZ888" t="s">
        <v>74</v>
      </c>
      <c r="BA888" t="s">
        <v>74</v>
      </c>
      <c r="BB888">
        <v>49</v>
      </c>
      <c r="BC888">
        <v>57</v>
      </c>
      <c r="BD888" t="s">
        <v>74</v>
      </c>
      <c r="BE888" t="s">
        <v>10714</v>
      </c>
      <c r="BF888" t="str">
        <f>HYPERLINK("http://dx.doi.org/10.1111/j.1432-1033.1997.00049.x","http://dx.doi.org/10.1111/j.1432-1033.1997.00049.x")</f>
        <v>http://dx.doi.org/10.1111/j.1432-1033.1997.00049.x</v>
      </c>
      <c r="BG888" t="s">
        <v>74</v>
      </c>
      <c r="BH888" t="s">
        <v>74</v>
      </c>
      <c r="BI888">
        <v>9</v>
      </c>
      <c r="BJ888" t="s">
        <v>951</v>
      </c>
      <c r="BK888" t="s">
        <v>98</v>
      </c>
      <c r="BL888" t="s">
        <v>951</v>
      </c>
      <c r="BM888" t="s">
        <v>10715</v>
      </c>
      <c r="BN888">
        <v>9310359</v>
      </c>
      <c r="BO888" t="s">
        <v>100</v>
      </c>
      <c r="BP888" t="s">
        <v>74</v>
      </c>
      <c r="BQ888" t="s">
        <v>74</v>
      </c>
      <c r="BR888" t="s">
        <v>101</v>
      </c>
      <c r="BS888" t="s">
        <v>10716</v>
      </c>
      <c r="BT888" t="str">
        <f>HYPERLINK("https%3A%2F%2Fwww.webofscience.com%2Fwos%2Fwoscc%2Ffull-record%2FWOS:A1997XR90900008","View Full Record in Web of Science")</f>
        <v>View Full Record in Web of Science</v>
      </c>
    </row>
    <row r="889" spans="1:72" x14ac:dyDescent="0.15">
      <c r="A889" t="s">
        <v>72</v>
      </c>
      <c r="B889" t="s">
        <v>10717</v>
      </c>
      <c r="C889" t="s">
        <v>74</v>
      </c>
      <c r="D889" t="s">
        <v>74</v>
      </c>
      <c r="E889" t="s">
        <v>74</v>
      </c>
      <c r="F889" t="s">
        <v>10717</v>
      </c>
      <c r="G889" t="s">
        <v>74</v>
      </c>
      <c r="H889" t="s">
        <v>74</v>
      </c>
      <c r="I889" t="s">
        <v>10718</v>
      </c>
      <c r="J889" t="s">
        <v>10719</v>
      </c>
      <c r="K889" t="s">
        <v>74</v>
      </c>
      <c r="L889" t="s">
        <v>74</v>
      </c>
      <c r="M889" t="s">
        <v>77</v>
      </c>
      <c r="N889" t="s">
        <v>78</v>
      </c>
      <c r="O889" t="s">
        <v>74</v>
      </c>
      <c r="P889" t="s">
        <v>74</v>
      </c>
      <c r="Q889" t="s">
        <v>74</v>
      </c>
      <c r="R889" t="s">
        <v>74</v>
      </c>
      <c r="S889" t="s">
        <v>74</v>
      </c>
      <c r="T889" t="s">
        <v>10720</v>
      </c>
      <c r="U889" t="s">
        <v>10721</v>
      </c>
      <c r="V889" t="s">
        <v>10722</v>
      </c>
      <c r="W889" t="s">
        <v>10723</v>
      </c>
      <c r="X889" t="s">
        <v>10724</v>
      </c>
      <c r="Y889" t="s">
        <v>74</v>
      </c>
      <c r="Z889" t="s">
        <v>74</v>
      </c>
      <c r="AA889" t="s">
        <v>10725</v>
      </c>
      <c r="AB889" t="s">
        <v>74</v>
      </c>
      <c r="AC889" t="s">
        <v>74</v>
      </c>
      <c r="AD889" t="s">
        <v>74</v>
      </c>
      <c r="AE889" t="s">
        <v>74</v>
      </c>
      <c r="AF889" t="s">
        <v>74</v>
      </c>
      <c r="AG889">
        <v>39</v>
      </c>
      <c r="AH889">
        <v>12</v>
      </c>
      <c r="AI889">
        <v>12</v>
      </c>
      <c r="AJ889">
        <v>0</v>
      </c>
      <c r="AK889">
        <v>2</v>
      </c>
      <c r="AL889" t="s">
        <v>9761</v>
      </c>
      <c r="AM889" t="s">
        <v>1030</v>
      </c>
      <c r="AN889" t="s">
        <v>9762</v>
      </c>
      <c r="AO889" t="s">
        <v>10726</v>
      </c>
      <c r="AP889" t="s">
        <v>10727</v>
      </c>
      <c r="AQ889" t="s">
        <v>74</v>
      </c>
      <c r="AR889" t="s">
        <v>10728</v>
      </c>
      <c r="AS889" t="s">
        <v>10729</v>
      </c>
      <c r="AT889" t="s">
        <v>10730</v>
      </c>
      <c r="AU889">
        <v>1997</v>
      </c>
      <c r="AV889">
        <v>347</v>
      </c>
      <c r="AW889">
        <v>3</v>
      </c>
      <c r="AX889" t="s">
        <v>74</v>
      </c>
      <c r="AY889" t="s">
        <v>74</v>
      </c>
      <c r="AZ889" t="s">
        <v>74</v>
      </c>
      <c r="BA889" t="s">
        <v>74</v>
      </c>
      <c r="BB889">
        <v>351</v>
      </c>
      <c r="BC889">
        <v>358</v>
      </c>
      <c r="BD889" t="s">
        <v>74</v>
      </c>
      <c r="BE889" t="s">
        <v>10731</v>
      </c>
      <c r="BF889" t="str">
        <f>HYPERLINK("http://dx.doi.org/10.1016/S0003-2670(97)00176-1","http://dx.doi.org/10.1016/S0003-2670(97)00176-1")</f>
        <v>http://dx.doi.org/10.1016/S0003-2670(97)00176-1</v>
      </c>
      <c r="BG889" t="s">
        <v>74</v>
      </c>
      <c r="BH889" t="s">
        <v>74</v>
      </c>
      <c r="BI889">
        <v>8</v>
      </c>
      <c r="BJ889" t="s">
        <v>1564</v>
      </c>
      <c r="BK889" t="s">
        <v>98</v>
      </c>
      <c r="BL889" t="s">
        <v>398</v>
      </c>
      <c r="BM889" t="s">
        <v>10732</v>
      </c>
      <c r="BN889" t="s">
        <v>74</v>
      </c>
      <c r="BO889" t="s">
        <v>74</v>
      </c>
      <c r="BP889" t="s">
        <v>74</v>
      </c>
      <c r="BQ889" t="s">
        <v>74</v>
      </c>
      <c r="BR889" t="s">
        <v>101</v>
      </c>
      <c r="BS889" t="s">
        <v>10733</v>
      </c>
      <c r="BT889" t="str">
        <f>HYPERLINK("https%3A%2F%2Fwww.webofscience.com%2Fwos%2Fwoscc%2Ffull-record%2FWOS:A1997XT40900013","View Full Record in Web of Science")</f>
        <v>View Full Record in Web of Science</v>
      </c>
    </row>
    <row r="890" spans="1:72" x14ac:dyDescent="0.15">
      <c r="A890" t="s">
        <v>72</v>
      </c>
      <c r="B890" t="s">
        <v>10734</v>
      </c>
      <c r="C890" t="s">
        <v>74</v>
      </c>
      <c r="D890" t="s">
        <v>74</v>
      </c>
      <c r="E890" t="s">
        <v>74</v>
      </c>
      <c r="F890" t="s">
        <v>10734</v>
      </c>
      <c r="G890" t="s">
        <v>74</v>
      </c>
      <c r="H890" t="s">
        <v>74</v>
      </c>
      <c r="I890" t="s">
        <v>10735</v>
      </c>
      <c r="J890" t="s">
        <v>127</v>
      </c>
      <c r="K890" t="s">
        <v>74</v>
      </c>
      <c r="L890" t="s">
        <v>74</v>
      </c>
      <c r="M890" t="s">
        <v>77</v>
      </c>
      <c r="N890" t="s">
        <v>78</v>
      </c>
      <c r="O890" t="s">
        <v>74</v>
      </c>
      <c r="P890" t="s">
        <v>74</v>
      </c>
      <c r="Q890" t="s">
        <v>74</v>
      </c>
      <c r="R890" t="s">
        <v>74</v>
      </c>
      <c r="S890" t="s">
        <v>74</v>
      </c>
      <c r="T890" t="s">
        <v>74</v>
      </c>
      <c r="U890" t="s">
        <v>10736</v>
      </c>
      <c r="V890" t="s">
        <v>10737</v>
      </c>
      <c r="W890" t="s">
        <v>10738</v>
      </c>
      <c r="X890" t="s">
        <v>10739</v>
      </c>
      <c r="Y890" t="s">
        <v>10740</v>
      </c>
      <c r="Z890" t="s">
        <v>74</v>
      </c>
      <c r="AA890" t="s">
        <v>10741</v>
      </c>
      <c r="AB890" t="s">
        <v>10742</v>
      </c>
      <c r="AC890" t="s">
        <v>74</v>
      </c>
      <c r="AD890" t="s">
        <v>74</v>
      </c>
      <c r="AE890" t="s">
        <v>74</v>
      </c>
      <c r="AF890" t="s">
        <v>74</v>
      </c>
      <c r="AG890">
        <v>64</v>
      </c>
      <c r="AH890">
        <v>470</v>
      </c>
      <c r="AI890">
        <v>503</v>
      </c>
      <c r="AJ890">
        <v>1</v>
      </c>
      <c r="AK890">
        <v>48</v>
      </c>
      <c r="AL890" t="s">
        <v>87</v>
      </c>
      <c r="AM890" t="s">
        <v>88</v>
      </c>
      <c r="AN890" t="s">
        <v>89</v>
      </c>
      <c r="AO890" t="s">
        <v>136</v>
      </c>
      <c r="AP890" t="s">
        <v>137</v>
      </c>
      <c r="AQ890" t="s">
        <v>74</v>
      </c>
      <c r="AR890" t="s">
        <v>138</v>
      </c>
      <c r="AS890" t="s">
        <v>139</v>
      </c>
      <c r="AT890" t="s">
        <v>10743</v>
      </c>
      <c r="AU890">
        <v>1997</v>
      </c>
      <c r="AV890">
        <v>102</v>
      </c>
      <c r="AW890" t="s">
        <v>10744</v>
      </c>
      <c r="AX890" t="s">
        <v>74</v>
      </c>
      <c r="AY890" t="s">
        <v>74</v>
      </c>
      <c r="AZ890" t="s">
        <v>74</v>
      </c>
      <c r="BA890" t="s">
        <v>74</v>
      </c>
      <c r="BB890">
        <v>18127</v>
      </c>
      <c r="BC890">
        <v>18138</v>
      </c>
      <c r="BD890" t="s">
        <v>74</v>
      </c>
      <c r="BE890" t="s">
        <v>10745</v>
      </c>
      <c r="BF890" t="str">
        <f>HYPERLINK("http://dx.doi.org/10.1029/97JB00972","http://dx.doi.org/10.1029/97JB00972")</f>
        <v>http://dx.doi.org/10.1029/97JB00972</v>
      </c>
      <c r="BG890" t="s">
        <v>74</v>
      </c>
      <c r="BH890" t="s">
        <v>74</v>
      </c>
      <c r="BI890">
        <v>12</v>
      </c>
      <c r="BJ890" t="s">
        <v>143</v>
      </c>
      <c r="BK890" t="s">
        <v>98</v>
      </c>
      <c r="BL890" t="s">
        <v>143</v>
      </c>
      <c r="BM890" t="s">
        <v>10746</v>
      </c>
      <c r="BN890" t="s">
        <v>74</v>
      </c>
      <c r="BO890" t="s">
        <v>100</v>
      </c>
      <c r="BP890" t="s">
        <v>74</v>
      </c>
      <c r="BQ890" t="s">
        <v>74</v>
      </c>
      <c r="BR890" t="s">
        <v>101</v>
      </c>
      <c r="BS890" t="s">
        <v>10747</v>
      </c>
      <c r="BT890" t="str">
        <f>HYPERLINK("https%3A%2F%2Fwww.webofscience.com%2Fwos%2Fwoscc%2Ffull-record%2FWOS:A1997XQ83000034","View Full Record in Web of Science")</f>
        <v>View Full Record in Web of Science</v>
      </c>
    </row>
    <row r="891" spans="1:72" x14ac:dyDescent="0.15">
      <c r="A891" t="s">
        <v>72</v>
      </c>
      <c r="B891" t="s">
        <v>10748</v>
      </c>
      <c r="C891" t="s">
        <v>74</v>
      </c>
      <c r="D891" t="s">
        <v>74</v>
      </c>
      <c r="E891" t="s">
        <v>74</v>
      </c>
      <c r="F891" t="s">
        <v>10748</v>
      </c>
      <c r="G891" t="s">
        <v>74</v>
      </c>
      <c r="H891" t="s">
        <v>74</v>
      </c>
      <c r="I891" t="s">
        <v>10749</v>
      </c>
      <c r="J891" t="s">
        <v>1994</v>
      </c>
      <c r="K891" t="s">
        <v>74</v>
      </c>
      <c r="L891" t="s">
        <v>74</v>
      </c>
      <c r="M891" t="s">
        <v>77</v>
      </c>
      <c r="N891" t="s">
        <v>379</v>
      </c>
      <c r="O891" t="s">
        <v>10750</v>
      </c>
      <c r="P891" t="s">
        <v>10751</v>
      </c>
      <c r="Q891" t="s">
        <v>10752</v>
      </c>
      <c r="R891" t="s">
        <v>74</v>
      </c>
      <c r="S891" t="s">
        <v>74</v>
      </c>
      <c r="T891" t="s">
        <v>74</v>
      </c>
      <c r="U891" t="s">
        <v>10753</v>
      </c>
      <c r="V891" t="s">
        <v>10754</v>
      </c>
      <c r="W891" t="s">
        <v>10755</v>
      </c>
      <c r="X891" t="s">
        <v>10756</v>
      </c>
      <c r="Y891" t="s">
        <v>10757</v>
      </c>
      <c r="Z891" t="s">
        <v>74</v>
      </c>
      <c r="AA891" t="s">
        <v>10758</v>
      </c>
      <c r="AB891" t="s">
        <v>10759</v>
      </c>
      <c r="AC891" t="s">
        <v>74</v>
      </c>
      <c r="AD891" t="s">
        <v>74</v>
      </c>
      <c r="AE891" t="s">
        <v>74</v>
      </c>
      <c r="AF891" t="s">
        <v>74</v>
      </c>
      <c r="AG891">
        <v>30</v>
      </c>
      <c r="AH891">
        <v>52</v>
      </c>
      <c r="AI891">
        <v>56</v>
      </c>
      <c r="AJ891">
        <v>1</v>
      </c>
      <c r="AK891">
        <v>12</v>
      </c>
      <c r="AL891" t="s">
        <v>707</v>
      </c>
      <c r="AM891" t="s">
        <v>88</v>
      </c>
      <c r="AN891" t="s">
        <v>8903</v>
      </c>
      <c r="AO891" t="s">
        <v>10760</v>
      </c>
      <c r="AP891" t="s">
        <v>74</v>
      </c>
      <c r="AQ891" t="s">
        <v>74</v>
      </c>
      <c r="AR891" t="s">
        <v>2001</v>
      </c>
      <c r="AS891" t="s">
        <v>2002</v>
      </c>
      <c r="AT891" t="s">
        <v>10761</v>
      </c>
      <c r="AU891">
        <v>1997</v>
      </c>
      <c r="AV891">
        <v>101</v>
      </c>
      <c r="AW891">
        <v>32</v>
      </c>
      <c r="AX891" t="s">
        <v>74</v>
      </c>
      <c r="AY891" t="s">
        <v>74</v>
      </c>
      <c r="AZ891" t="s">
        <v>74</v>
      </c>
      <c r="BA891" t="s">
        <v>74</v>
      </c>
      <c r="BB891">
        <v>6090</v>
      </c>
      <c r="BC891">
        <v>6094</v>
      </c>
      <c r="BD891" t="s">
        <v>74</v>
      </c>
      <c r="BE891" t="s">
        <v>10762</v>
      </c>
      <c r="BF891" t="str">
        <f>HYPERLINK("http://dx.doi.org/10.1021/jp9631543","http://dx.doi.org/10.1021/jp9631543")</f>
        <v>http://dx.doi.org/10.1021/jp9631543</v>
      </c>
      <c r="BG891" t="s">
        <v>74</v>
      </c>
      <c r="BH891" t="s">
        <v>74</v>
      </c>
      <c r="BI891">
        <v>5</v>
      </c>
      <c r="BJ891" t="s">
        <v>396</v>
      </c>
      <c r="BK891" t="s">
        <v>397</v>
      </c>
      <c r="BL891" t="s">
        <v>398</v>
      </c>
      <c r="BM891" t="s">
        <v>10763</v>
      </c>
      <c r="BN891" t="s">
        <v>74</v>
      </c>
      <c r="BO891" t="s">
        <v>74</v>
      </c>
      <c r="BP891" t="s">
        <v>74</v>
      </c>
      <c r="BQ891" t="s">
        <v>74</v>
      </c>
      <c r="BR891" t="s">
        <v>101</v>
      </c>
      <c r="BS891" t="s">
        <v>10764</v>
      </c>
      <c r="BT891" t="str">
        <f>HYPERLINK("https%3A%2F%2Fwww.webofscience.com%2Fwos%2Fwoscc%2Ffull-record%2FWOS:A1997XP91300004","View Full Record in Web of Science")</f>
        <v>View Full Record in Web of Science</v>
      </c>
    </row>
    <row r="892" spans="1:72" x14ac:dyDescent="0.15">
      <c r="A892" t="s">
        <v>72</v>
      </c>
      <c r="B892" t="s">
        <v>10765</v>
      </c>
      <c r="C892" t="s">
        <v>74</v>
      </c>
      <c r="D892" t="s">
        <v>74</v>
      </c>
      <c r="E892" t="s">
        <v>74</v>
      </c>
      <c r="F892" t="s">
        <v>10765</v>
      </c>
      <c r="G892" t="s">
        <v>74</v>
      </c>
      <c r="H892" t="s">
        <v>74</v>
      </c>
      <c r="I892" t="s">
        <v>10766</v>
      </c>
      <c r="J892" t="s">
        <v>1994</v>
      </c>
      <c r="K892" t="s">
        <v>74</v>
      </c>
      <c r="L892" t="s">
        <v>74</v>
      </c>
      <c r="M892" t="s">
        <v>77</v>
      </c>
      <c r="N892" t="s">
        <v>379</v>
      </c>
      <c r="O892" t="s">
        <v>10750</v>
      </c>
      <c r="P892" t="s">
        <v>10751</v>
      </c>
      <c r="Q892" t="s">
        <v>10752</v>
      </c>
      <c r="R892" t="s">
        <v>74</v>
      </c>
      <c r="S892" t="s">
        <v>74</v>
      </c>
      <c r="T892" t="s">
        <v>74</v>
      </c>
      <c r="U892" t="s">
        <v>74</v>
      </c>
      <c r="V892" t="s">
        <v>10767</v>
      </c>
      <c r="W892" t="s">
        <v>10768</v>
      </c>
      <c r="X892" t="s">
        <v>10769</v>
      </c>
      <c r="Y892" t="s">
        <v>10770</v>
      </c>
      <c r="Z892" t="s">
        <v>74</v>
      </c>
      <c r="AA892" t="s">
        <v>10771</v>
      </c>
      <c r="AB892" t="s">
        <v>10772</v>
      </c>
      <c r="AC892" t="s">
        <v>74</v>
      </c>
      <c r="AD892" t="s">
        <v>74</v>
      </c>
      <c r="AE892" t="s">
        <v>74</v>
      </c>
      <c r="AF892" t="s">
        <v>74</v>
      </c>
      <c r="AG892">
        <v>31</v>
      </c>
      <c r="AH892">
        <v>13</v>
      </c>
      <c r="AI892">
        <v>13</v>
      </c>
      <c r="AJ892">
        <v>0</v>
      </c>
      <c r="AK892">
        <v>5</v>
      </c>
      <c r="AL892" t="s">
        <v>707</v>
      </c>
      <c r="AM892" t="s">
        <v>88</v>
      </c>
      <c r="AN892" t="s">
        <v>708</v>
      </c>
      <c r="AO892" t="s">
        <v>2000</v>
      </c>
      <c r="AP892" t="s">
        <v>74</v>
      </c>
      <c r="AQ892" t="s">
        <v>74</v>
      </c>
      <c r="AR892" t="s">
        <v>2001</v>
      </c>
      <c r="AS892" t="s">
        <v>2002</v>
      </c>
      <c r="AT892" t="s">
        <v>10761</v>
      </c>
      <c r="AU892">
        <v>1997</v>
      </c>
      <c r="AV892">
        <v>101</v>
      </c>
      <c r="AW892">
        <v>32</v>
      </c>
      <c r="AX892" t="s">
        <v>74</v>
      </c>
      <c r="AY892" t="s">
        <v>74</v>
      </c>
      <c r="AZ892" t="s">
        <v>74</v>
      </c>
      <c r="BA892" t="s">
        <v>74</v>
      </c>
      <c r="BB892">
        <v>6201</v>
      </c>
      <c r="BC892">
        <v>6204</v>
      </c>
      <c r="BD892" t="s">
        <v>74</v>
      </c>
      <c r="BE892" t="s">
        <v>10773</v>
      </c>
      <c r="BF892" t="str">
        <f>HYPERLINK("http://dx.doi.org/10.1021/jp963218+","http://dx.doi.org/10.1021/jp963218+")</f>
        <v>http://dx.doi.org/10.1021/jp963218+</v>
      </c>
      <c r="BG892" t="s">
        <v>74</v>
      </c>
      <c r="BH892" t="s">
        <v>74</v>
      </c>
      <c r="BI892">
        <v>4</v>
      </c>
      <c r="BJ892" t="s">
        <v>396</v>
      </c>
      <c r="BK892" t="s">
        <v>3943</v>
      </c>
      <c r="BL892" t="s">
        <v>398</v>
      </c>
      <c r="BM892" t="s">
        <v>10763</v>
      </c>
      <c r="BN892" t="s">
        <v>74</v>
      </c>
      <c r="BO892" t="s">
        <v>74</v>
      </c>
      <c r="BP892" t="s">
        <v>74</v>
      </c>
      <c r="BQ892" t="s">
        <v>74</v>
      </c>
      <c r="BR892" t="s">
        <v>101</v>
      </c>
      <c r="BS892" t="s">
        <v>10774</v>
      </c>
      <c r="BT892" t="str">
        <f>HYPERLINK("https%3A%2F%2Fwww.webofscience.com%2Fwos%2Fwoscc%2Ffull-record%2FWOS:A1997XP91300031","View Full Record in Web of Science")</f>
        <v>View Full Record in Web of Science</v>
      </c>
    </row>
    <row r="893" spans="1:72" x14ac:dyDescent="0.15">
      <c r="A893" t="s">
        <v>72</v>
      </c>
      <c r="B893" t="s">
        <v>10775</v>
      </c>
      <c r="C893" t="s">
        <v>74</v>
      </c>
      <c r="D893" t="s">
        <v>74</v>
      </c>
      <c r="E893" t="s">
        <v>74</v>
      </c>
      <c r="F893" t="s">
        <v>10775</v>
      </c>
      <c r="G893" t="s">
        <v>74</v>
      </c>
      <c r="H893" t="s">
        <v>74</v>
      </c>
      <c r="I893" t="s">
        <v>10776</v>
      </c>
      <c r="J893" t="s">
        <v>10777</v>
      </c>
      <c r="K893" t="s">
        <v>74</v>
      </c>
      <c r="L893" t="s">
        <v>74</v>
      </c>
      <c r="M893" t="s">
        <v>77</v>
      </c>
      <c r="N893" t="s">
        <v>78</v>
      </c>
      <c r="O893" t="s">
        <v>74</v>
      </c>
      <c r="P893" t="s">
        <v>74</v>
      </c>
      <c r="Q893" t="s">
        <v>74</v>
      </c>
      <c r="R893" t="s">
        <v>74</v>
      </c>
      <c r="S893" t="s">
        <v>74</v>
      </c>
      <c r="T893" t="s">
        <v>10778</v>
      </c>
      <c r="U893" t="s">
        <v>10779</v>
      </c>
      <c r="V893" t="s">
        <v>10780</v>
      </c>
      <c r="W893" t="s">
        <v>74</v>
      </c>
      <c r="X893" t="s">
        <v>74</v>
      </c>
      <c r="Y893" t="s">
        <v>10781</v>
      </c>
      <c r="Z893" t="s">
        <v>74</v>
      </c>
      <c r="AA893" t="s">
        <v>74</v>
      </c>
      <c r="AB893" t="s">
        <v>74</v>
      </c>
      <c r="AC893" t="s">
        <v>74</v>
      </c>
      <c r="AD893" t="s">
        <v>74</v>
      </c>
      <c r="AE893" t="s">
        <v>74</v>
      </c>
      <c r="AF893" t="s">
        <v>74</v>
      </c>
      <c r="AG893">
        <v>67</v>
      </c>
      <c r="AH893">
        <v>146</v>
      </c>
      <c r="AI893">
        <v>160</v>
      </c>
      <c r="AJ893">
        <v>0</v>
      </c>
      <c r="AK893">
        <v>15</v>
      </c>
      <c r="AL893" t="s">
        <v>10782</v>
      </c>
      <c r="AM893" t="s">
        <v>10783</v>
      </c>
      <c r="AN893" t="s">
        <v>10784</v>
      </c>
      <c r="AO893" t="s">
        <v>10785</v>
      </c>
      <c r="AP893" t="s">
        <v>74</v>
      </c>
      <c r="AQ893" t="s">
        <v>74</v>
      </c>
      <c r="AR893" t="s">
        <v>10786</v>
      </c>
      <c r="AS893" t="s">
        <v>10787</v>
      </c>
      <c r="AT893" t="s">
        <v>10788</v>
      </c>
      <c r="AU893">
        <v>1997</v>
      </c>
      <c r="AV893">
        <v>84</v>
      </c>
      <c r="AW893">
        <v>8</v>
      </c>
      <c r="AX893" t="s">
        <v>74</v>
      </c>
      <c r="AY893" t="s">
        <v>74</v>
      </c>
      <c r="AZ893" t="s">
        <v>74</v>
      </c>
      <c r="BA893" t="s">
        <v>74</v>
      </c>
      <c r="BB893">
        <v>1137</v>
      </c>
      <c r="BC893">
        <v>1155</v>
      </c>
      <c r="BD893" t="s">
        <v>74</v>
      </c>
      <c r="BE893" t="s">
        <v>10789</v>
      </c>
      <c r="BF893" t="str">
        <f>HYPERLINK("http://dx.doi.org/10.2307/2446156","http://dx.doi.org/10.2307/2446156")</f>
        <v>http://dx.doi.org/10.2307/2446156</v>
      </c>
      <c r="BG893" t="s">
        <v>74</v>
      </c>
      <c r="BH893" t="s">
        <v>74</v>
      </c>
      <c r="BI893">
        <v>19</v>
      </c>
      <c r="BJ893" t="s">
        <v>2721</v>
      </c>
      <c r="BK893" t="s">
        <v>98</v>
      </c>
      <c r="BL893" t="s">
        <v>2721</v>
      </c>
      <c r="BM893" t="s">
        <v>10790</v>
      </c>
      <c r="BN893">
        <v>21708668</v>
      </c>
      <c r="BO893" t="s">
        <v>74</v>
      </c>
      <c r="BP893" t="s">
        <v>74</v>
      </c>
      <c r="BQ893" t="s">
        <v>74</v>
      </c>
      <c r="BR893" t="s">
        <v>101</v>
      </c>
      <c r="BS893" t="s">
        <v>10791</v>
      </c>
      <c r="BT893" t="str">
        <f>HYPERLINK("https%3A%2F%2Fwww.webofscience.com%2Fwos%2Fwoscc%2Ffull-record%2FWOS:A1997XT04600012","View Full Record in Web of Science")</f>
        <v>View Full Record in Web of Science</v>
      </c>
    </row>
    <row r="894" spans="1:72" x14ac:dyDescent="0.15">
      <c r="A894" t="s">
        <v>72</v>
      </c>
      <c r="B894" t="s">
        <v>10792</v>
      </c>
      <c r="C894" t="s">
        <v>74</v>
      </c>
      <c r="D894" t="s">
        <v>74</v>
      </c>
      <c r="E894" t="s">
        <v>74</v>
      </c>
      <c r="F894" t="s">
        <v>10792</v>
      </c>
      <c r="G894" t="s">
        <v>74</v>
      </c>
      <c r="H894" t="s">
        <v>74</v>
      </c>
      <c r="I894" t="s">
        <v>10793</v>
      </c>
      <c r="J894" t="s">
        <v>1228</v>
      </c>
      <c r="K894" t="s">
        <v>74</v>
      </c>
      <c r="L894" t="s">
        <v>74</v>
      </c>
      <c r="M894" t="s">
        <v>77</v>
      </c>
      <c r="N894" t="s">
        <v>78</v>
      </c>
      <c r="O894" t="s">
        <v>74</v>
      </c>
      <c r="P894" t="s">
        <v>74</v>
      </c>
      <c r="Q894" t="s">
        <v>74</v>
      </c>
      <c r="R894" t="s">
        <v>74</v>
      </c>
      <c r="S894" t="s">
        <v>74</v>
      </c>
      <c r="T894" t="s">
        <v>74</v>
      </c>
      <c r="U894" t="s">
        <v>10794</v>
      </c>
      <c r="V894" t="s">
        <v>10795</v>
      </c>
      <c r="W894" t="s">
        <v>9386</v>
      </c>
      <c r="X894" t="s">
        <v>322</v>
      </c>
      <c r="Y894" t="s">
        <v>10796</v>
      </c>
      <c r="Z894" t="s">
        <v>74</v>
      </c>
      <c r="AA894" t="s">
        <v>74</v>
      </c>
      <c r="AB894" t="s">
        <v>74</v>
      </c>
      <c r="AC894" t="s">
        <v>74</v>
      </c>
      <c r="AD894" t="s">
        <v>74</v>
      </c>
      <c r="AE894" t="s">
        <v>74</v>
      </c>
      <c r="AF894" t="s">
        <v>74</v>
      </c>
      <c r="AG894">
        <v>22</v>
      </c>
      <c r="AH894">
        <v>7</v>
      </c>
      <c r="AI894">
        <v>7</v>
      </c>
      <c r="AJ894">
        <v>0</v>
      </c>
      <c r="AK894">
        <v>0</v>
      </c>
      <c r="AL894" t="s">
        <v>897</v>
      </c>
      <c r="AM894" t="s">
        <v>244</v>
      </c>
      <c r="AN894" t="s">
        <v>7783</v>
      </c>
      <c r="AO894" t="s">
        <v>1238</v>
      </c>
      <c r="AP894" t="s">
        <v>74</v>
      </c>
      <c r="AQ894" t="s">
        <v>74</v>
      </c>
      <c r="AR894" t="s">
        <v>1239</v>
      </c>
      <c r="AS894" t="s">
        <v>1240</v>
      </c>
      <c r="AT894" t="s">
        <v>10788</v>
      </c>
      <c r="AU894">
        <v>1997</v>
      </c>
      <c r="AV894">
        <v>15</v>
      </c>
      <c r="AW894">
        <v>8</v>
      </c>
      <c r="AX894" t="s">
        <v>74</v>
      </c>
      <c r="AY894" t="s">
        <v>74</v>
      </c>
      <c r="AZ894" t="s">
        <v>74</v>
      </c>
      <c r="BA894" t="s">
        <v>74</v>
      </c>
      <c r="BB894">
        <v>999</v>
      </c>
      <c r="BC894">
        <v>1004</v>
      </c>
      <c r="BD894" t="s">
        <v>74</v>
      </c>
      <c r="BE894" t="s">
        <v>10797</v>
      </c>
      <c r="BF894" t="str">
        <f>HYPERLINK("http://dx.doi.org/10.1007/s005850050517","http://dx.doi.org/10.1007/s005850050517")</f>
        <v>http://dx.doi.org/10.1007/s005850050517</v>
      </c>
      <c r="BG894" t="s">
        <v>74</v>
      </c>
      <c r="BH894" t="s">
        <v>74</v>
      </c>
      <c r="BI894">
        <v>6</v>
      </c>
      <c r="BJ894" t="s">
        <v>1242</v>
      </c>
      <c r="BK894" t="s">
        <v>98</v>
      </c>
      <c r="BL894" t="s">
        <v>1243</v>
      </c>
      <c r="BM894" t="s">
        <v>10798</v>
      </c>
      <c r="BN894" t="s">
        <v>74</v>
      </c>
      <c r="BO894" t="s">
        <v>1245</v>
      </c>
      <c r="BP894" t="s">
        <v>74</v>
      </c>
      <c r="BQ894" t="s">
        <v>74</v>
      </c>
      <c r="BR894" t="s">
        <v>101</v>
      </c>
      <c r="BS894" t="s">
        <v>10799</v>
      </c>
      <c r="BT894" t="str">
        <f>HYPERLINK("https%3A%2F%2Fwww.webofscience.com%2Fwos%2Fwoscc%2Ffull-record%2FWOS:A1997XV25900005","View Full Record in Web of Science")</f>
        <v>View Full Record in Web of Science</v>
      </c>
    </row>
    <row r="895" spans="1:72" x14ac:dyDescent="0.15">
      <c r="A895" t="s">
        <v>72</v>
      </c>
      <c r="B895" t="s">
        <v>10800</v>
      </c>
      <c r="C895" t="s">
        <v>74</v>
      </c>
      <c r="D895" t="s">
        <v>74</v>
      </c>
      <c r="E895" t="s">
        <v>74</v>
      </c>
      <c r="F895" t="s">
        <v>10800</v>
      </c>
      <c r="G895" t="s">
        <v>74</v>
      </c>
      <c r="H895" t="s">
        <v>74</v>
      </c>
      <c r="I895" t="s">
        <v>10801</v>
      </c>
      <c r="J895" t="s">
        <v>353</v>
      </c>
      <c r="K895" t="s">
        <v>74</v>
      </c>
      <c r="L895" t="s">
        <v>74</v>
      </c>
      <c r="M895" t="s">
        <v>77</v>
      </c>
      <c r="N895" t="s">
        <v>78</v>
      </c>
      <c r="O895" t="s">
        <v>74</v>
      </c>
      <c r="P895" t="s">
        <v>74</v>
      </c>
      <c r="Q895" t="s">
        <v>74</v>
      </c>
      <c r="R895" t="s">
        <v>74</v>
      </c>
      <c r="S895" t="s">
        <v>74</v>
      </c>
      <c r="T895" t="s">
        <v>74</v>
      </c>
      <c r="U895" t="s">
        <v>10802</v>
      </c>
      <c r="V895" t="s">
        <v>10803</v>
      </c>
      <c r="W895" t="s">
        <v>10804</v>
      </c>
      <c r="X895" t="s">
        <v>1714</v>
      </c>
      <c r="Y895" t="s">
        <v>10805</v>
      </c>
      <c r="Z895" t="s">
        <v>74</v>
      </c>
      <c r="AA895" t="s">
        <v>10806</v>
      </c>
      <c r="AB895" t="s">
        <v>10807</v>
      </c>
      <c r="AC895" t="s">
        <v>74</v>
      </c>
      <c r="AD895" t="s">
        <v>74</v>
      </c>
      <c r="AE895" t="s">
        <v>74</v>
      </c>
      <c r="AF895" t="s">
        <v>74</v>
      </c>
      <c r="AG895">
        <v>60</v>
      </c>
      <c r="AH895">
        <v>402</v>
      </c>
      <c r="AI895">
        <v>461</v>
      </c>
      <c r="AJ895">
        <v>1</v>
      </c>
      <c r="AK895">
        <v>64</v>
      </c>
      <c r="AL895" t="s">
        <v>360</v>
      </c>
      <c r="AM895" t="s">
        <v>88</v>
      </c>
      <c r="AN895" t="s">
        <v>9343</v>
      </c>
      <c r="AO895" t="s">
        <v>362</v>
      </c>
      <c r="AP895" t="s">
        <v>74</v>
      </c>
      <c r="AQ895" t="s">
        <v>74</v>
      </c>
      <c r="AR895" t="s">
        <v>364</v>
      </c>
      <c r="AS895" t="s">
        <v>365</v>
      </c>
      <c r="AT895" t="s">
        <v>10788</v>
      </c>
      <c r="AU895">
        <v>1997</v>
      </c>
      <c r="AV895">
        <v>63</v>
      </c>
      <c r="AW895">
        <v>8</v>
      </c>
      <c r="AX895" t="s">
        <v>74</v>
      </c>
      <c r="AY895" t="s">
        <v>74</v>
      </c>
      <c r="AZ895" t="s">
        <v>74</v>
      </c>
      <c r="BA895" t="s">
        <v>74</v>
      </c>
      <c r="BB895">
        <v>3068</v>
      </c>
      <c r="BC895">
        <v>3078</v>
      </c>
      <c r="BD895" t="s">
        <v>74</v>
      </c>
      <c r="BE895" t="s">
        <v>10808</v>
      </c>
      <c r="BF895" t="str">
        <f>HYPERLINK("http://dx.doi.org/10.1128/AEM.63.8.3068-3078.1997","http://dx.doi.org/10.1128/AEM.63.8.3068-3078.1997")</f>
        <v>http://dx.doi.org/10.1128/AEM.63.8.3068-3078.1997</v>
      </c>
      <c r="BG895" t="s">
        <v>74</v>
      </c>
      <c r="BH895" t="s">
        <v>74</v>
      </c>
      <c r="BI895">
        <v>11</v>
      </c>
      <c r="BJ895" t="s">
        <v>366</v>
      </c>
      <c r="BK895" t="s">
        <v>98</v>
      </c>
      <c r="BL895" t="s">
        <v>366</v>
      </c>
      <c r="BM895" t="s">
        <v>10809</v>
      </c>
      <c r="BN895">
        <v>9251193</v>
      </c>
      <c r="BO895" t="s">
        <v>509</v>
      </c>
      <c r="BP895" t="s">
        <v>74</v>
      </c>
      <c r="BQ895" t="s">
        <v>74</v>
      </c>
      <c r="BR895" t="s">
        <v>101</v>
      </c>
      <c r="BS895" t="s">
        <v>10810</v>
      </c>
      <c r="BT895" t="str">
        <f>HYPERLINK("https%3A%2F%2Fwww.webofscience.com%2Fwos%2Fwoscc%2Ffull-record%2FWOS:A1997XP06700017","View Full Record in Web of Science")</f>
        <v>View Full Record in Web of Science</v>
      </c>
    </row>
    <row r="896" spans="1:72" x14ac:dyDescent="0.15">
      <c r="A896" t="s">
        <v>72</v>
      </c>
      <c r="B896" t="s">
        <v>10811</v>
      </c>
      <c r="C896" t="s">
        <v>74</v>
      </c>
      <c r="D896" t="s">
        <v>74</v>
      </c>
      <c r="E896" t="s">
        <v>74</v>
      </c>
      <c r="F896" t="s">
        <v>10811</v>
      </c>
      <c r="G896" t="s">
        <v>74</v>
      </c>
      <c r="H896" t="s">
        <v>74</v>
      </c>
      <c r="I896" t="s">
        <v>10812</v>
      </c>
      <c r="J896" t="s">
        <v>8253</v>
      </c>
      <c r="K896" t="s">
        <v>74</v>
      </c>
      <c r="L896" t="s">
        <v>74</v>
      </c>
      <c r="M896" t="s">
        <v>77</v>
      </c>
      <c r="N896" t="s">
        <v>78</v>
      </c>
      <c r="O896" t="s">
        <v>74</v>
      </c>
      <c r="P896" t="s">
        <v>74</v>
      </c>
      <c r="Q896" t="s">
        <v>74</v>
      </c>
      <c r="R896" t="s">
        <v>74</v>
      </c>
      <c r="S896" t="s">
        <v>74</v>
      </c>
      <c r="T896" t="s">
        <v>74</v>
      </c>
      <c r="U896" t="s">
        <v>10813</v>
      </c>
      <c r="V896" t="s">
        <v>10814</v>
      </c>
      <c r="W896" t="s">
        <v>10815</v>
      </c>
      <c r="X896" t="s">
        <v>8784</v>
      </c>
      <c r="Y896" t="s">
        <v>10816</v>
      </c>
      <c r="Z896" t="s">
        <v>74</v>
      </c>
      <c r="AA896" t="s">
        <v>74</v>
      </c>
      <c r="AB896" t="s">
        <v>74</v>
      </c>
      <c r="AC896" t="s">
        <v>74</v>
      </c>
      <c r="AD896" t="s">
        <v>74</v>
      </c>
      <c r="AE896" t="s">
        <v>74</v>
      </c>
      <c r="AF896" t="s">
        <v>74</v>
      </c>
      <c r="AG896">
        <v>41</v>
      </c>
      <c r="AH896">
        <v>22</v>
      </c>
      <c r="AI896">
        <v>23</v>
      </c>
      <c r="AJ896">
        <v>0</v>
      </c>
      <c r="AK896">
        <v>6</v>
      </c>
      <c r="AL896" t="s">
        <v>8258</v>
      </c>
      <c r="AM896" t="s">
        <v>486</v>
      </c>
      <c r="AN896" t="s">
        <v>8259</v>
      </c>
      <c r="AO896" t="s">
        <v>8260</v>
      </c>
      <c r="AP896" t="s">
        <v>74</v>
      </c>
      <c r="AQ896" t="s">
        <v>74</v>
      </c>
      <c r="AR896" t="s">
        <v>8261</v>
      </c>
      <c r="AS896" t="s">
        <v>8262</v>
      </c>
      <c r="AT896" t="s">
        <v>10788</v>
      </c>
      <c r="AU896">
        <v>1997</v>
      </c>
      <c r="AV896">
        <v>29</v>
      </c>
      <c r="AW896">
        <v>3</v>
      </c>
      <c r="AX896" t="s">
        <v>74</v>
      </c>
      <c r="AY896" t="s">
        <v>74</v>
      </c>
      <c r="AZ896" t="s">
        <v>74</v>
      </c>
      <c r="BA896" t="s">
        <v>74</v>
      </c>
      <c r="BB896">
        <v>358</v>
      </c>
      <c r="BC896">
        <v>365</v>
      </c>
      <c r="BD896" t="s">
        <v>74</v>
      </c>
      <c r="BE896" t="s">
        <v>10817</v>
      </c>
      <c r="BF896" t="str">
        <f>HYPERLINK("http://dx.doi.org/10.2307/1552152","http://dx.doi.org/10.2307/1552152")</f>
        <v>http://dx.doi.org/10.2307/1552152</v>
      </c>
      <c r="BG896" t="s">
        <v>74</v>
      </c>
      <c r="BH896" t="s">
        <v>74</v>
      </c>
      <c r="BI896">
        <v>8</v>
      </c>
      <c r="BJ896" t="s">
        <v>8265</v>
      </c>
      <c r="BK896" t="s">
        <v>98</v>
      </c>
      <c r="BL896" t="s">
        <v>8266</v>
      </c>
      <c r="BM896" t="s">
        <v>10818</v>
      </c>
      <c r="BN896" t="s">
        <v>74</v>
      </c>
      <c r="BO896" t="s">
        <v>74</v>
      </c>
      <c r="BP896" t="s">
        <v>74</v>
      </c>
      <c r="BQ896" t="s">
        <v>74</v>
      </c>
      <c r="BR896" t="s">
        <v>101</v>
      </c>
      <c r="BS896" t="s">
        <v>10819</v>
      </c>
      <c r="BT896" t="str">
        <f>HYPERLINK("https%3A%2F%2Fwww.webofscience.com%2Fwos%2Fwoscc%2Ffull-record%2FWOS:A1997XU11300013","View Full Record in Web of Science")</f>
        <v>View Full Record in Web of Science</v>
      </c>
    </row>
    <row r="897" spans="1:72" x14ac:dyDescent="0.15">
      <c r="A897" t="s">
        <v>72</v>
      </c>
      <c r="B897" t="s">
        <v>10820</v>
      </c>
      <c r="C897" t="s">
        <v>74</v>
      </c>
      <c r="D897" t="s">
        <v>74</v>
      </c>
      <c r="E897" t="s">
        <v>74</v>
      </c>
      <c r="F897" t="s">
        <v>10820</v>
      </c>
      <c r="G897" t="s">
        <v>74</v>
      </c>
      <c r="H897" t="s">
        <v>74</v>
      </c>
      <c r="I897" t="s">
        <v>10821</v>
      </c>
      <c r="J897" t="s">
        <v>403</v>
      </c>
      <c r="K897" t="s">
        <v>74</v>
      </c>
      <c r="L897" t="s">
        <v>74</v>
      </c>
      <c r="M897" t="s">
        <v>77</v>
      </c>
      <c r="N897" t="s">
        <v>78</v>
      </c>
      <c r="O897" t="s">
        <v>74</v>
      </c>
      <c r="P897" t="s">
        <v>74</v>
      </c>
      <c r="Q897" t="s">
        <v>74</v>
      </c>
      <c r="R897" t="s">
        <v>74</v>
      </c>
      <c r="S897" t="s">
        <v>74</v>
      </c>
      <c r="T897" t="s">
        <v>74</v>
      </c>
      <c r="U897" t="s">
        <v>10822</v>
      </c>
      <c r="V897" t="s">
        <v>10823</v>
      </c>
      <c r="W897" t="s">
        <v>10824</v>
      </c>
      <c r="X897" t="s">
        <v>10825</v>
      </c>
      <c r="Y897" t="s">
        <v>74</v>
      </c>
      <c r="Z897" t="s">
        <v>74</v>
      </c>
      <c r="AA897" t="s">
        <v>74</v>
      </c>
      <c r="AB897" t="s">
        <v>10826</v>
      </c>
      <c r="AC897" t="s">
        <v>74</v>
      </c>
      <c r="AD897" t="s">
        <v>74</v>
      </c>
      <c r="AE897" t="s">
        <v>74</v>
      </c>
      <c r="AF897" t="s">
        <v>74</v>
      </c>
      <c r="AG897">
        <v>33</v>
      </c>
      <c r="AH897">
        <v>22</v>
      </c>
      <c r="AI897">
        <v>27</v>
      </c>
      <c r="AJ897">
        <v>2</v>
      </c>
      <c r="AK897">
        <v>6</v>
      </c>
      <c r="AL897" t="s">
        <v>410</v>
      </c>
      <c r="AM897" t="s">
        <v>411</v>
      </c>
      <c r="AN897" t="s">
        <v>9215</v>
      </c>
      <c r="AO897" t="s">
        <v>413</v>
      </c>
      <c r="AP897" t="s">
        <v>74</v>
      </c>
      <c r="AQ897" t="s">
        <v>74</v>
      </c>
      <c r="AR897" t="s">
        <v>414</v>
      </c>
      <c r="AS897" t="s">
        <v>415</v>
      </c>
      <c r="AT897" t="s">
        <v>10788</v>
      </c>
      <c r="AU897">
        <v>1997</v>
      </c>
      <c r="AV897">
        <v>75</v>
      </c>
      <c r="AW897">
        <v>8</v>
      </c>
      <c r="AX897" t="s">
        <v>74</v>
      </c>
      <c r="AY897" t="s">
        <v>74</v>
      </c>
      <c r="AZ897" t="s">
        <v>74</v>
      </c>
      <c r="BA897" t="s">
        <v>74</v>
      </c>
      <c r="BB897">
        <v>1241</v>
      </c>
      <c r="BC897">
        <v>1246</v>
      </c>
      <c r="BD897" t="s">
        <v>74</v>
      </c>
      <c r="BE897" t="s">
        <v>10827</v>
      </c>
      <c r="BF897" t="str">
        <f>HYPERLINK("http://dx.doi.org/10.1139/z97-146","http://dx.doi.org/10.1139/z97-146")</f>
        <v>http://dx.doi.org/10.1139/z97-146</v>
      </c>
      <c r="BG897" t="s">
        <v>74</v>
      </c>
      <c r="BH897" t="s">
        <v>74</v>
      </c>
      <c r="BI897">
        <v>6</v>
      </c>
      <c r="BJ897" t="s">
        <v>417</v>
      </c>
      <c r="BK897" t="s">
        <v>98</v>
      </c>
      <c r="BL897" t="s">
        <v>417</v>
      </c>
      <c r="BM897" t="s">
        <v>10828</v>
      </c>
      <c r="BN897" t="s">
        <v>74</v>
      </c>
      <c r="BO897" t="s">
        <v>74</v>
      </c>
      <c r="BP897" t="s">
        <v>74</v>
      </c>
      <c r="BQ897" t="s">
        <v>74</v>
      </c>
      <c r="BR897" t="s">
        <v>101</v>
      </c>
      <c r="BS897" t="s">
        <v>10829</v>
      </c>
      <c r="BT897" t="str">
        <f>HYPERLINK("https%3A%2F%2Fwww.webofscience.com%2Fwos%2Fwoscc%2Ffull-record%2FWOS:A1997XP66500006","View Full Record in Web of Science")</f>
        <v>View Full Record in Web of Science</v>
      </c>
    </row>
    <row r="898" spans="1:72" x14ac:dyDescent="0.15">
      <c r="A898" t="s">
        <v>72</v>
      </c>
      <c r="B898" t="s">
        <v>10830</v>
      </c>
      <c r="C898" t="s">
        <v>74</v>
      </c>
      <c r="D898" t="s">
        <v>74</v>
      </c>
      <c r="E898" t="s">
        <v>74</v>
      </c>
      <c r="F898" t="s">
        <v>10830</v>
      </c>
      <c r="G898" t="s">
        <v>74</v>
      </c>
      <c r="H898" t="s">
        <v>74</v>
      </c>
      <c r="I898" t="s">
        <v>10831</v>
      </c>
      <c r="J898" t="s">
        <v>1409</v>
      </c>
      <c r="K898" t="s">
        <v>74</v>
      </c>
      <c r="L898" t="s">
        <v>74</v>
      </c>
      <c r="M898" t="s">
        <v>77</v>
      </c>
      <c r="N898" t="s">
        <v>78</v>
      </c>
      <c r="O898" t="s">
        <v>74</v>
      </c>
      <c r="P898" t="s">
        <v>74</v>
      </c>
      <c r="Q898" t="s">
        <v>74</v>
      </c>
      <c r="R898" t="s">
        <v>74</v>
      </c>
      <c r="S898" t="s">
        <v>74</v>
      </c>
      <c r="T898" t="s">
        <v>74</v>
      </c>
      <c r="U898" t="s">
        <v>10832</v>
      </c>
      <c r="V898" t="s">
        <v>10833</v>
      </c>
      <c r="W898" t="s">
        <v>74</v>
      </c>
      <c r="X898" t="s">
        <v>74</v>
      </c>
      <c r="Y898" t="s">
        <v>10834</v>
      </c>
      <c r="Z898" t="s">
        <v>74</v>
      </c>
      <c r="AA898" t="s">
        <v>10835</v>
      </c>
      <c r="AB898" t="s">
        <v>10836</v>
      </c>
      <c r="AC898" t="s">
        <v>74</v>
      </c>
      <c r="AD898" t="s">
        <v>74</v>
      </c>
      <c r="AE898" t="s">
        <v>74</v>
      </c>
      <c r="AF898" t="s">
        <v>74</v>
      </c>
      <c r="AG898">
        <v>30</v>
      </c>
      <c r="AH898">
        <v>66</v>
      </c>
      <c r="AI898">
        <v>72</v>
      </c>
      <c r="AJ898">
        <v>0</v>
      </c>
      <c r="AK898">
        <v>12</v>
      </c>
      <c r="AL898" t="s">
        <v>897</v>
      </c>
      <c r="AM898" t="s">
        <v>244</v>
      </c>
      <c r="AN898" t="s">
        <v>7783</v>
      </c>
      <c r="AO898" t="s">
        <v>1417</v>
      </c>
      <c r="AP898" t="s">
        <v>74</v>
      </c>
      <c r="AQ898" t="s">
        <v>74</v>
      </c>
      <c r="AR898" t="s">
        <v>1418</v>
      </c>
      <c r="AS898" t="s">
        <v>1419</v>
      </c>
      <c r="AT898" t="s">
        <v>10788</v>
      </c>
      <c r="AU898">
        <v>1997</v>
      </c>
      <c r="AV898">
        <v>13</v>
      </c>
      <c r="AW898" t="s">
        <v>6035</v>
      </c>
      <c r="AX898" t="s">
        <v>74</v>
      </c>
      <c r="AY898" t="s">
        <v>74</v>
      </c>
      <c r="AZ898" t="s">
        <v>74</v>
      </c>
      <c r="BA898" t="s">
        <v>74</v>
      </c>
      <c r="BB898">
        <v>547</v>
      </c>
      <c r="BC898">
        <v>560</v>
      </c>
      <c r="BD898" t="s">
        <v>74</v>
      </c>
      <c r="BE898" t="s">
        <v>10837</v>
      </c>
      <c r="BF898" t="str">
        <f>HYPERLINK("http://dx.doi.org/10.1007/s003820050182","http://dx.doi.org/10.1007/s003820050182")</f>
        <v>http://dx.doi.org/10.1007/s003820050182</v>
      </c>
      <c r="BG898" t="s">
        <v>74</v>
      </c>
      <c r="BH898" t="s">
        <v>74</v>
      </c>
      <c r="BI898">
        <v>14</v>
      </c>
      <c r="BJ898" t="s">
        <v>635</v>
      </c>
      <c r="BK898" t="s">
        <v>98</v>
      </c>
      <c r="BL898" t="s">
        <v>635</v>
      </c>
      <c r="BM898" t="s">
        <v>10838</v>
      </c>
      <c r="BN898" t="s">
        <v>74</v>
      </c>
      <c r="BO898" t="s">
        <v>74</v>
      </c>
      <c r="BP898" t="s">
        <v>74</v>
      </c>
      <c r="BQ898" t="s">
        <v>74</v>
      </c>
      <c r="BR898" t="s">
        <v>101</v>
      </c>
      <c r="BS898" t="s">
        <v>10839</v>
      </c>
      <c r="BT898" t="str">
        <f>HYPERLINK("https%3A%2F%2Fwww.webofscience.com%2Fwos%2Fwoscc%2Ffull-record%2FWOS:A1997XX04700006","View Full Record in Web of Science")</f>
        <v>View Full Record in Web of Science</v>
      </c>
    </row>
    <row r="899" spans="1:72" x14ac:dyDescent="0.15">
      <c r="A899" t="s">
        <v>72</v>
      </c>
      <c r="B899" t="s">
        <v>10840</v>
      </c>
      <c r="C899" t="s">
        <v>74</v>
      </c>
      <c r="D899" t="s">
        <v>74</v>
      </c>
      <c r="E899" t="s">
        <v>74</v>
      </c>
      <c r="F899" t="s">
        <v>10840</v>
      </c>
      <c r="G899" t="s">
        <v>74</v>
      </c>
      <c r="H899" t="s">
        <v>74</v>
      </c>
      <c r="I899" t="s">
        <v>10841</v>
      </c>
      <c r="J899" t="s">
        <v>1425</v>
      </c>
      <c r="K899" t="s">
        <v>74</v>
      </c>
      <c r="L899" t="s">
        <v>74</v>
      </c>
      <c r="M899" t="s">
        <v>77</v>
      </c>
      <c r="N899" t="s">
        <v>379</v>
      </c>
      <c r="O899" t="s">
        <v>10842</v>
      </c>
      <c r="P899" t="s">
        <v>10843</v>
      </c>
      <c r="Q899" t="s">
        <v>2523</v>
      </c>
      <c r="R899" t="s">
        <v>74</v>
      </c>
      <c r="S899" t="s">
        <v>74</v>
      </c>
      <c r="T899" t="s">
        <v>10844</v>
      </c>
      <c r="U899" t="s">
        <v>10845</v>
      </c>
      <c r="V899" t="s">
        <v>10846</v>
      </c>
      <c r="W899" t="s">
        <v>10847</v>
      </c>
      <c r="X899" t="s">
        <v>10848</v>
      </c>
      <c r="Y899" t="s">
        <v>74</v>
      </c>
      <c r="Z899" t="s">
        <v>74</v>
      </c>
      <c r="AA899" t="s">
        <v>74</v>
      </c>
      <c r="AB899" t="s">
        <v>74</v>
      </c>
      <c r="AC899" t="s">
        <v>74</v>
      </c>
      <c r="AD899" t="s">
        <v>74</v>
      </c>
      <c r="AE899" t="s">
        <v>74</v>
      </c>
      <c r="AF899" t="s">
        <v>74</v>
      </c>
      <c r="AG899">
        <v>34</v>
      </c>
      <c r="AH899">
        <v>39</v>
      </c>
      <c r="AI899">
        <v>43</v>
      </c>
      <c r="AJ899">
        <v>0</v>
      </c>
      <c r="AK899">
        <v>11</v>
      </c>
      <c r="AL899" t="s">
        <v>451</v>
      </c>
      <c r="AM899" t="s">
        <v>214</v>
      </c>
      <c r="AN899" t="s">
        <v>7151</v>
      </c>
      <c r="AO899" t="s">
        <v>1428</v>
      </c>
      <c r="AP899" t="s">
        <v>74</v>
      </c>
      <c r="AQ899" t="s">
        <v>74</v>
      </c>
      <c r="AR899" t="s">
        <v>1429</v>
      </c>
      <c r="AS899" t="s">
        <v>1430</v>
      </c>
      <c r="AT899" t="s">
        <v>10788</v>
      </c>
      <c r="AU899">
        <v>1997</v>
      </c>
      <c r="AV899">
        <v>117</v>
      </c>
      <c r="AW899">
        <v>4</v>
      </c>
      <c r="AX899" t="s">
        <v>74</v>
      </c>
      <c r="AY899" t="s">
        <v>74</v>
      </c>
      <c r="AZ899" t="s">
        <v>74</v>
      </c>
      <c r="BA899" t="s">
        <v>74</v>
      </c>
      <c r="BB899">
        <v>613</v>
      </c>
      <c r="BC899">
        <v>620</v>
      </c>
      <c r="BD899" t="s">
        <v>74</v>
      </c>
      <c r="BE899" t="s">
        <v>10849</v>
      </c>
      <c r="BF899" t="str">
        <f>HYPERLINK("http://dx.doi.org/10.1016/S0305-0491(97)00011-4","http://dx.doi.org/10.1016/S0305-0491(97)00011-4")</f>
        <v>http://dx.doi.org/10.1016/S0305-0491(97)00011-4</v>
      </c>
      <c r="BG899" t="s">
        <v>74</v>
      </c>
      <c r="BH899" t="s">
        <v>74</v>
      </c>
      <c r="BI899">
        <v>8</v>
      </c>
      <c r="BJ899" t="s">
        <v>1431</v>
      </c>
      <c r="BK899" t="s">
        <v>397</v>
      </c>
      <c r="BL899" t="s">
        <v>1431</v>
      </c>
      <c r="BM899" t="s">
        <v>10850</v>
      </c>
      <c r="BN899">
        <v>9297803</v>
      </c>
      <c r="BO899" t="s">
        <v>74</v>
      </c>
      <c r="BP899" t="s">
        <v>74</v>
      </c>
      <c r="BQ899" t="s">
        <v>74</v>
      </c>
      <c r="BR899" t="s">
        <v>101</v>
      </c>
      <c r="BS899" t="s">
        <v>10851</v>
      </c>
      <c r="BT899" t="str">
        <f>HYPERLINK("https%3A%2F%2Fwww.webofscience.com%2Fwos%2Fwoscc%2Ffull-record%2FWOS:A1997XR44900020","View Full Record in Web of Science")</f>
        <v>View Full Record in Web of Science</v>
      </c>
    </row>
    <row r="900" spans="1:72" x14ac:dyDescent="0.15">
      <c r="A900" t="s">
        <v>72</v>
      </c>
      <c r="B900" t="s">
        <v>10852</v>
      </c>
      <c r="C900" t="s">
        <v>74</v>
      </c>
      <c r="D900" t="s">
        <v>74</v>
      </c>
      <c r="E900" t="s">
        <v>74</v>
      </c>
      <c r="F900" t="s">
        <v>10852</v>
      </c>
      <c r="G900" t="s">
        <v>74</v>
      </c>
      <c r="H900" t="s">
        <v>74</v>
      </c>
      <c r="I900" t="s">
        <v>10853</v>
      </c>
      <c r="J900" t="s">
        <v>1494</v>
      </c>
      <c r="K900" t="s">
        <v>74</v>
      </c>
      <c r="L900" t="s">
        <v>74</v>
      </c>
      <c r="M900" t="s">
        <v>77</v>
      </c>
      <c r="N900" t="s">
        <v>78</v>
      </c>
      <c r="O900" t="s">
        <v>74</v>
      </c>
      <c r="P900" t="s">
        <v>74</v>
      </c>
      <c r="Q900" t="s">
        <v>74</v>
      </c>
      <c r="R900" t="s">
        <v>74</v>
      </c>
      <c r="S900" t="s">
        <v>74</v>
      </c>
      <c r="T900" t="s">
        <v>74</v>
      </c>
      <c r="U900" t="s">
        <v>10854</v>
      </c>
      <c r="V900" t="s">
        <v>10855</v>
      </c>
      <c r="W900" t="s">
        <v>9792</v>
      </c>
      <c r="X900" t="s">
        <v>8784</v>
      </c>
      <c r="Y900" t="s">
        <v>10856</v>
      </c>
      <c r="Z900" t="s">
        <v>74</v>
      </c>
      <c r="AA900" t="s">
        <v>74</v>
      </c>
      <c r="AB900" t="s">
        <v>74</v>
      </c>
      <c r="AC900" t="s">
        <v>74</v>
      </c>
      <c r="AD900" t="s">
        <v>74</v>
      </c>
      <c r="AE900" t="s">
        <v>74</v>
      </c>
      <c r="AF900" t="s">
        <v>74</v>
      </c>
      <c r="AG900">
        <v>72</v>
      </c>
      <c r="AH900">
        <v>235</v>
      </c>
      <c r="AI900">
        <v>243</v>
      </c>
      <c r="AJ900">
        <v>0</v>
      </c>
      <c r="AK900">
        <v>41</v>
      </c>
      <c r="AL900" t="s">
        <v>451</v>
      </c>
      <c r="AM900" t="s">
        <v>214</v>
      </c>
      <c r="AN900" t="s">
        <v>452</v>
      </c>
      <c r="AO900" t="s">
        <v>1503</v>
      </c>
      <c r="AP900" t="s">
        <v>1504</v>
      </c>
      <c r="AQ900" t="s">
        <v>74</v>
      </c>
      <c r="AR900" t="s">
        <v>1505</v>
      </c>
      <c r="AS900" t="s">
        <v>1506</v>
      </c>
      <c r="AT900" t="s">
        <v>10788</v>
      </c>
      <c r="AU900">
        <v>1997</v>
      </c>
      <c r="AV900">
        <v>44</v>
      </c>
      <c r="AW900">
        <v>8</v>
      </c>
      <c r="AX900" t="s">
        <v>74</v>
      </c>
      <c r="AY900" t="s">
        <v>74</v>
      </c>
      <c r="AZ900" t="s">
        <v>74</v>
      </c>
      <c r="BA900" t="s">
        <v>74</v>
      </c>
      <c r="BB900">
        <v>1377</v>
      </c>
      <c r="BC900">
        <v>1403</v>
      </c>
      <c r="BD900" t="s">
        <v>74</v>
      </c>
      <c r="BE900" t="s">
        <v>10857</v>
      </c>
      <c r="BF900" t="str">
        <f>HYPERLINK("http://dx.doi.org/10.1016/S0967-0637(97)00020-4","http://dx.doi.org/10.1016/S0967-0637(97)00020-4")</f>
        <v>http://dx.doi.org/10.1016/S0967-0637(97)00020-4</v>
      </c>
      <c r="BG900" t="s">
        <v>74</v>
      </c>
      <c r="BH900" t="s">
        <v>74</v>
      </c>
      <c r="BI900">
        <v>27</v>
      </c>
      <c r="BJ900" t="s">
        <v>97</v>
      </c>
      <c r="BK900" t="s">
        <v>98</v>
      </c>
      <c r="BL900" t="s">
        <v>97</v>
      </c>
      <c r="BM900" t="s">
        <v>10858</v>
      </c>
      <c r="BN900" t="s">
        <v>74</v>
      </c>
      <c r="BO900" t="s">
        <v>74</v>
      </c>
      <c r="BP900" t="s">
        <v>74</v>
      </c>
      <c r="BQ900" t="s">
        <v>74</v>
      </c>
      <c r="BR900" t="s">
        <v>101</v>
      </c>
      <c r="BS900" t="s">
        <v>10859</v>
      </c>
      <c r="BT900" t="str">
        <f>HYPERLINK("https%3A%2F%2Fwww.webofscience.com%2Fwos%2Fwoscc%2Ffull-record%2FWOS:A1997YD20700006","View Full Record in Web of Science")</f>
        <v>View Full Record in Web of Science</v>
      </c>
    </row>
    <row r="901" spans="1:72" x14ac:dyDescent="0.15">
      <c r="A901" t="s">
        <v>72</v>
      </c>
      <c r="B901" t="s">
        <v>10860</v>
      </c>
      <c r="C901" t="s">
        <v>74</v>
      </c>
      <c r="D901" t="s">
        <v>74</v>
      </c>
      <c r="E901" t="s">
        <v>74</v>
      </c>
      <c r="F901" t="s">
        <v>10860</v>
      </c>
      <c r="G901" t="s">
        <v>74</v>
      </c>
      <c r="H901" t="s">
        <v>74</v>
      </c>
      <c r="I901" t="s">
        <v>10861</v>
      </c>
      <c r="J901" t="s">
        <v>10122</v>
      </c>
      <c r="K901" t="s">
        <v>74</v>
      </c>
      <c r="L901" t="s">
        <v>74</v>
      </c>
      <c r="M901" t="s">
        <v>4428</v>
      </c>
      <c r="N901" t="s">
        <v>78</v>
      </c>
      <c r="O901" t="s">
        <v>74</v>
      </c>
      <c r="P901" t="s">
        <v>74</v>
      </c>
      <c r="Q901" t="s">
        <v>74</v>
      </c>
      <c r="R901" t="s">
        <v>74</v>
      </c>
      <c r="S901" t="s">
        <v>74</v>
      </c>
      <c r="T901" t="s">
        <v>74</v>
      </c>
      <c r="U901" t="s">
        <v>74</v>
      </c>
      <c r="V901" t="s">
        <v>74</v>
      </c>
      <c r="W901" t="s">
        <v>10862</v>
      </c>
      <c r="X901" t="s">
        <v>10863</v>
      </c>
      <c r="Y901" t="s">
        <v>10864</v>
      </c>
      <c r="Z901" t="s">
        <v>74</v>
      </c>
      <c r="AA901" t="s">
        <v>74</v>
      </c>
      <c r="AB901" t="s">
        <v>74</v>
      </c>
      <c r="AC901" t="s">
        <v>74</v>
      </c>
      <c r="AD901" t="s">
        <v>74</v>
      </c>
      <c r="AE901" t="s">
        <v>74</v>
      </c>
      <c r="AF901" t="s">
        <v>74</v>
      </c>
      <c r="AG901">
        <v>8</v>
      </c>
      <c r="AH901">
        <v>0</v>
      </c>
      <c r="AI901">
        <v>0</v>
      </c>
      <c r="AJ901">
        <v>0</v>
      </c>
      <c r="AK901">
        <v>0</v>
      </c>
      <c r="AL901" t="s">
        <v>10865</v>
      </c>
      <c r="AM901" t="s">
        <v>244</v>
      </c>
      <c r="AN901" t="s">
        <v>10866</v>
      </c>
      <c r="AO901" t="s">
        <v>10126</v>
      </c>
      <c r="AP901" t="s">
        <v>74</v>
      </c>
      <c r="AQ901" t="s">
        <v>74</v>
      </c>
      <c r="AR901" t="s">
        <v>10127</v>
      </c>
      <c r="AS901" t="s">
        <v>10128</v>
      </c>
      <c r="AT901" t="s">
        <v>10788</v>
      </c>
      <c r="AU901">
        <v>1997</v>
      </c>
      <c r="AV901">
        <v>355</v>
      </c>
      <c r="AW901">
        <v>6</v>
      </c>
      <c r="AX901" t="s">
        <v>74</v>
      </c>
      <c r="AY901" t="s">
        <v>74</v>
      </c>
      <c r="AZ901" t="s">
        <v>74</v>
      </c>
      <c r="BA901" t="s">
        <v>74</v>
      </c>
      <c r="BB901">
        <v>821</v>
      </c>
      <c r="BC901">
        <v>826</v>
      </c>
      <c r="BD901" t="s">
        <v>74</v>
      </c>
      <c r="BE901" t="s">
        <v>74</v>
      </c>
      <c r="BF901" t="s">
        <v>74</v>
      </c>
      <c r="BG901" t="s">
        <v>74</v>
      </c>
      <c r="BH901" t="s">
        <v>74</v>
      </c>
      <c r="BI901">
        <v>6</v>
      </c>
      <c r="BJ901" t="s">
        <v>186</v>
      </c>
      <c r="BK901" t="s">
        <v>98</v>
      </c>
      <c r="BL901" t="s">
        <v>187</v>
      </c>
      <c r="BM901" t="s">
        <v>10867</v>
      </c>
      <c r="BN901" t="s">
        <v>74</v>
      </c>
      <c r="BO901" t="s">
        <v>74</v>
      </c>
      <c r="BP901" t="s">
        <v>74</v>
      </c>
      <c r="BQ901" t="s">
        <v>74</v>
      </c>
      <c r="BR901" t="s">
        <v>101</v>
      </c>
      <c r="BS901" t="s">
        <v>10868</v>
      </c>
      <c r="BT901" t="str">
        <f>HYPERLINK("https%3A%2F%2Fwww.webofscience.com%2Fwos%2Fwoscc%2Ffull-record%2FWOS:000070603200027","View Full Record in Web of Science")</f>
        <v>View Full Record in Web of Science</v>
      </c>
    </row>
    <row r="902" spans="1:72" x14ac:dyDescent="0.15">
      <c r="A902" t="s">
        <v>72</v>
      </c>
      <c r="B902" t="s">
        <v>10869</v>
      </c>
      <c r="C902" t="s">
        <v>74</v>
      </c>
      <c r="D902" t="s">
        <v>74</v>
      </c>
      <c r="E902" t="s">
        <v>74</v>
      </c>
      <c r="F902" t="s">
        <v>10869</v>
      </c>
      <c r="G902" t="s">
        <v>74</v>
      </c>
      <c r="H902" t="s">
        <v>74</v>
      </c>
      <c r="I902" t="s">
        <v>10870</v>
      </c>
      <c r="J902" t="s">
        <v>4170</v>
      </c>
      <c r="K902" t="s">
        <v>74</v>
      </c>
      <c r="L902" t="s">
        <v>74</v>
      </c>
      <c r="M902" t="s">
        <v>77</v>
      </c>
      <c r="N902" t="s">
        <v>78</v>
      </c>
      <c r="O902" t="s">
        <v>74</v>
      </c>
      <c r="P902" t="s">
        <v>74</v>
      </c>
      <c r="Q902" t="s">
        <v>74</v>
      </c>
      <c r="R902" t="s">
        <v>74</v>
      </c>
      <c r="S902" t="s">
        <v>74</v>
      </c>
      <c r="T902" t="s">
        <v>10871</v>
      </c>
      <c r="U902" t="s">
        <v>10872</v>
      </c>
      <c r="V902" t="s">
        <v>10873</v>
      </c>
      <c r="W902" t="s">
        <v>74</v>
      </c>
      <c r="X902" t="s">
        <v>74</v>
      </c>
      <c r="Y902" t="s">
        <v>10874</v>
      </c>
      <c r="Z902" t="s">
        <v>74</v>
      </c>
      <c r="AA902" t="s">
        <v>10875</v>
      </c>
      <c r="AB902" t="s">
        <v>761</v>
      </c>
      <c r="AC902" t="s">
        <v>74</v>
      </c>
      <c r="AD902" t="s">
        <v>74</v>
      </c>
      <c r="AE902" t="s">
        <v>74</v>
      </c>
      <c r="AF902" t="s">
        <v>74</v>
      </c>
      <c r="AG902">
        <v>49</v>
      </c>
      <c r="AH902">
        <v>76</v>
      </c>
      <c r="AI902">
        <v>82</v>
      </c>
      <c r="AJ902">
        <v>0</v>
      </c>
      <c r="AK902">
        <v>10</v>
      </c>
      <c r="AL902" t="s">
        <v>1029</v>
      </c>
      <c r="AM902" t="s">
        <v>1030</v>
      </c>
      <c r="AN902" t="s">
        <v>1031</v>
      </c>
      <c r="AO902" t="s">
        <v>4180</v>
      </c>
      <c r="AP902" t="s">
        <v>74</v>
      </c>
      <c r="AQ902" t="s">
        <v>74</v>
      </c>
      <c r="AR902" t="s">
        <v>4181</v>
      </c>
      <c r="AS902" t="s">
        <v>4182</v>
      </c>
      <c r="AT902" t="s">
        <v>10788</v>
      </c>
      <c r="AU902">
        <v>1997</v>
      </c>
      <c r="AV902">
        <v>150</v>
      </c>
      <c r="AW902" t="s">
        <v>694</v>
      </c>
      <c r="AX902" t="s">
        <v>74</v>
      </c>
      <c r="AY902" t="s">
        <v>74</v>
      </c>
      <c r="AZ902" t="s">
        <v>74</v>
      </c>
      <c r="BA902" t="s">
        <v>74</v>
      </c>
      <c r="BB902">
        <v>261</v>
      </c>
      <c r="BC902">
        <v>275</v>
      </c>
      <c r="BD902" t="s">
        <v>74</v>
      </c>
      <c r="BE902" t="s">
        <v>10876</v>
      </c>
      <c r="BF902" t="str">
        <f>HYPERLINK("http://dx.doi.org/10.1016/S0012-821X(97)00074-5","http://dx.doi.org/10.1016/S0012-821X(97)00074-5")</f>
        <v>http://dx.doi.org/10.1016/S0012-821X(97)00074-5</v>
      </c>
      <c r="BG902" t="s">
        <v>74</v>
      </c>
      <c r="BH902" t="s">
        <v>74</v>
      </c>
      <c r="BI902">
        <v>15</v>
      </c>
      <c r="BJ902" t="s">
        <v>143</v>
      </c>
      <c r="BK902" t="s">
        <v>98</v>
      </c>
      <c r="BL902" t="s">
        <v>143</v>
      </c>
      <c r="BM902" t="s">
        <v>10877</v>
      </c>
      <c r="BN902" t="s">
        <v>74</v>
      </c>
      <c r="BO902" t="s">
        <v>74</v>
      </c>
      <c r="BP902" t="s">
        <v>74</v>
      </c>
      <c r="BQ902" t="s">
        <v>74</v>
      </c>
      <c r="BR902" t="s">
        <v>101</v>
      </c>
      <c r="BS902" t="s">
        <v>10878</v>
      </c>
      <c r="BT902" t="str">
        <f>HYPERLINK("https%3A%2F%2Fwww.webofscience.com%2Fwos%2Fwoscc%2Ffull-record%2FWOS:A1997XZ77900007","View Full Record in Web of Science")</f>
        <v>View Full Record in Web of Science</v>
      </c>
    </row>
    <row r="903" spans="1:72" x14ac:dyDescent="0.15">
      <c r="A903" t="s">
        <v>72</v>
      </c>
      <c r="B903" t="s">
        <v>10879</v>
      </c>
      <c r="C903" t="s">
        <v>74</v>
      </c>
      <c r="D903" t="s">
        <v>74</v>
      </c>
      <c r="E903" t="s">
        <v>74</v>
      </c>
      <c r="F903" t="s">
        <v>10879</v>
      </c>
      <c r="G903" t="s">
        <v>74</v>
      </c>
      <c r="H903" t="s">
        <v>74</v>
      </c>
      <c r="I903" t="s">
        <v>10880</v>
      </c>
      <c r="J903" t="s">
        <v>4170</v>
      </c>
      <c r="K903" t="s">
        <v>74</v>
      </c>
      <c r="L903" t="s">
        <v>74</v>
      </c>
      <c r="M903" t="s">
        <v>77</v>
      </c>
      <c r="N903" t="s">
        <v>78</v>
      </c>
      <c r="O903" t="s">
        <v>74</v>
      </c>
      <c r="P903" t="s">
        <v>74</v>
      </c>
      <c r="Q903" t="s">
        <v>74</v>
      </c>
      <c r="R903" t="s">
        <v>74</v>
      </c>
      <c r="S903" t="s">
        <v>74</v>
      </c>
      <c r="T903" t="s">
        <v>10881</v>
      </c>
      <c r="U903" t="s">
        <v>10882</v>
      </c>
      <c r="V903" t="s">
        <v>10883</v>
      </c>
      <c r="W903" t="s">
        <v>10884</v>
      </c>
      <c r="X903" t="s">
        <v>10885</v>
      </c>
      <c r="Y903" t="s">
        <v>10886</v>
      </c>
      <c r="Z903" t="s">
        <v>74</v>
      </c>
      <c r="AA903" t="s">
        <v>10887</v>
      </c>
      <c r="AB903" t="s">
        <v>74</v>
      </c>
      <c r="AC903" t="s">
        <v>74</v>
      </c>
      <c r="AD903" t="s">
        <v>74</v>
      </c>
      <c r="AE903" t="s">
        <v>74</v>
      </c>
      <c r="AF903" t="s">
        <v>74</v>
      </c>
      <c r="AG903">
        <v>59</v>
      </c>
      <c r="AH903">
        <v>245</v>
      </c>
      <c r="AI903">
        <v>260</v>
      </c>
      <c r="AJ903">
        <v>1</v>
      </c>
      <c r="AK903">
        <v>39</v>
      </c>
      <c r="AL903" t="s">
        <v>1029</v>
      </c>
      <c r="AM903" t="s">
        <v>1030</v>
      </c>
      <c r="AN903" t="s">
        <v>1031</v>
      </c>
      <c r="AO903" t="s">
        <v>4180</v>
      </c>
      <c r="AP903" t="s">
        <v>74</v>
      </c>
      <c r="AQ903" t="s">
        <v>74</v>
      </c>
      <c r="AR903" t="s">
        <v>4181</v>
      </c>
      <c r="AS903" t="s">
        <v>4182</v>
      </c>
      <c r="AT903" t="s">
        <v>10788</v>
      </c>
      <c r="AU903">
        <v>1997</v>
      </c>
      <c r="AV903">
        <v>150</v>
      </c>
      <c r="AW903" t="s">
        <v>694</v>
      </c>
      <c r="AX903" t="s">
        <v>74</v>
      </c>
      <c r="AY903" t="s">
        <v>74</v>
      </c>
      <c r="AZ903" t="s">
        <v>74</v>
      </c>
      <c r="BA903" t="s">
        <v>74</v>
      </c>
      <c r="BB903">
        <v>453</v>
      </c>
      <c r="BC903">
        <v>462</v>
      </c>
      <c r="BD903" t="s">
        <v>74</v>
      </c>
      <c r="BE903" t="s">
        <v>10888</v>
      </c>
      <c r="BF903" t="str">
        <f>HYPERLINK("http://dx.doi.org/10.1016/S0012-821X(97)00082-4","http://dx.doi.org/10.1016/S0012-821X(97)00082-4")</f>
        <v>http://dx.doi.org/10.1016/S0012-821X(97)00082-4</v>
      </c>
      <c r="BG903" t="s">
        <v>74</v>
      </c>
      <c r="BH903" t="s">
        <v>74</v>
      </c>
      <c r="BI903">
        <v>10</v>
      </c>
      <c r="BJ903" t="s">
        <v>143</v>
      </c>
      <c r="BK903" t="s">
        <v>98</v>
      </c>
      <c r="BL903" t="s">
        <v>143</v>
      </c>
      <c r="BM903" t="s">
        <v>10877</v>
      </c>
      <c r="BN903" t="s">
        <v>74</v>
      </c>
      <c r="BO903" t="s">
        <v>74</v>
      </c>
      <c r="BP903" t="s">
        <v>74</v>
      </c>
      <c r="BQ903" t="s">
        <v>74</v>
      </c>
      <c r="BR903" t="s">
        <v>101</v>
      </c>
      <c r="BS903" t="s">
        <v>10889</v>
      </c>
      <c r="BT903" t="str">
        <f>HYPERLINK("https%3A%2F%2Fwww.webofscience.com%2Fwos%2Fwoscc%2Ffull-record%2FWOS:A1997XZ77900020","View Full Record in Web of Science")</f>
        <v>View Full Record in Web of Science</v>
      </c>
    </row>
    <row r="904" spans="1:72" x14ac:dyDescent="0.15">
      <c r="A904" t="s">
        <v>72</v>
      </c>
      <c r="B904" t="s">
        <v>10890</v>
      </c>
      <c r="C904" t="s">
        <v>74</v>
      </c>
      <c r="D904" t="s">
        <v>74</v>
      </c>
      <c r="E904" t="s">
        <v>74</v>
      </c>
      <c r="F904" t="s">
        <v>10890</v>
      </c>
      <c r="G904" t="s">
        <v>74</v>
      </c>
      <c r="H904" t="s">
        <v>74</v>
      </c>
      <c r="I904" t="s">
        <v>10891</v>
      </c>
      <c r="J904" t="s">
        <v>10892</v>
      </c>
      <c r="K904" t="s">
        <v>74</v>
      </c>
      <c r="L904" t="s">
        <v>74</v>
      </c>
      <c r="M904" t="s">
        <v>77</v>
      </c>
      <c r="N904" t="s">
        <v>78</v>
      </c>
      <c r="O904" t="s">
        <v>74</v>
      </c>
      <c r="P904" t="s">
        <v>74</v>
      </c>
      <c r="Q904" t="s">
        <v>74</v>
      </c>
      <c r="R904" t="s">
        <v>74</v>
      </c>
      <c r="S904" t="s">
        <v>74</v>
      </c>
      <c r="T904" t="s">
        <v>10893</v>
      </c>
      <c r="U904" t="s">
        <v>10894</v>
      </c>
      <c r="V904" t="s">
        <v>10895</v>
      </c>
      <c r="W904" t="s">
        <v>10896</v>
      </c>
      <c r="X904" t="s">
        <v>10897</v>
      </c>
      <c r="Y904" t="s">
        <v>10898</v>
      </c>
      <c r="Z904" t="s">
        <v>74</v>
      </c>
      <c r="AA904" t="s">
        <v>10899</v>
      </c>
      <c r="AB904" t="s">
        <v>10900</v>
      </c>
      <c r="AC904" t="s">
        <v>74</v>
      </c>
      <c r="AD904" t="s">
        <v>74</v>
      </c>
      <c r="AE904" t="s">
        <v>74</v>
      </c>
      <c r="AF904" t="s">
        <v>74</v>
      </c>
      <c r="AG904">
        <v>41</v>
      </c>
      <c r="AH904">
        <v>45</v>
      </c>
      <c r="AI904">
        <v>47</v>
      </c>
      <c r="AJ904">
        <v>0</v>
      </c>
      <c r="AK904">
        <v>1</v>
      </c>
      <c r="AL904" t="s">
        <v>213</v>
      </c>
      <c r="AM904" t="s">
        <v>214</v>
      </c>
      <c r="AN904" t="s">
        <v>9930</v>
      </c>
      <c r="AO904" t="s">
        <v>10901</v>
      </c>
      <c r="AP904" t="s">
        <v>74</v>
      </c>
      <c r="AQ904" t="s">
        <v>74</v>
      </c>
      <c r="AR904" t="s">
        <v>10902</v>
      </c>
      <c r="AS904" t="s">
        <v>10903</v>
      </c>
      <c r="AT904" t="s">
        <v>10788</v>
      </c>
      <c r="AU904">
        <v>1997</v>
      </c>
      <c r="AV904">
        <v>130</v>
      </c>
      <c r="AW904">
        <v>2</v>
      </c>
      <c r="AX904" t="s">
        <v>74</v>
      </c>
      <c r="AY904" t="s">
        <v>74</v>
      </c>
      <c r="AZ904" t="s">
        <v>74</v>
      </c>
      <c r="BA904" t="s">
        <v>74</v>
      </c>
      <c r="BB904">
        <v>506</v>
      </c>
      <c r="BC904">
        <v>518</v>
      </c>
      <c r="BD904" t="s">
        <v>74</v>
      </c>
      <c r="BE904" t="s">
        <v>10904</v>
      </c>
      <c r="BF904" t="str">
        <f>HYPERLINK("http://dx.doi.org/10.1111/j.1365-246X.1997.tb05665.x","http://dx.doi.org/10.1111/j.1365-246X.1997.tb05665.x")</f>
        <v>http://dx.doi.org/10.1111/j.1365-246X.1997.tb05665.x</v>
      </c>
      <c r="BG904" t="s">
        <v>74</v>
      </c>
      <c r="BH904" t="s">
        <v>74</v>
      </c>
      <c r="BI904">
        <v>15</v>
      </c>
      <c r="BJ904" t="s">
        <v>143</v>
      </c>
      <c r="BK904" t="s">
        <v>98</v>
      </c>
      <c r="BL904" t="s">
        <v>143</v>
      </c>
      <c r="BM904" t="s">
        <v>10905</v>
      </c>
      <c r="BN904" t="s">
        <v>74</v>
      </c>
      <c r="BO904" t="s">
        <v>100</v>
      </c>
      <c r="BP904" t="s">
        <v>74</v>
      </c>
      <c r="BQ904" t="s">
        <v>74</v>
      </c>
      <c r="BR904" t="s">
        <v>101</v>
      </c>
      <c r="BS904" t="s">
        <v>10906</v>
      </c>
      <c r="BT904" t="str">
        <f>HYPERLINK("https%3A%2F%2Fwww.webofscience.com%2Fwos%2Fwoscc%2Ffull-record%2FWOS:A1997XR10200019","View Full Record in Web of Science")</f>
        <v>View Full Record in Web of Science</v>
      </c>
    </row>
    <row r="905" spans="1:72" x14ac:dyDescent="0.15">
      <c r="A905" t="s">
        <v>72</v>
      </c>
      <c r="B905" t="s">
        <v>10907</v>
      </c>
      <c r="C905" t="s">
        <v>74</v>
      </c>
      <c r="D905" t="s">
        <v>74</v>
      </c>
      <c r="E905" t="s">
        <v>74</v>
      </c>
      <c r="F905" t="s">
        <v>10907</v>
      </c>
      <c r="G905" t="s">
        <v>74</v>
      </c>
      <c r="H905" t="s">
        <v>74</v>
      </c>
      <c r="I905" t="s">
        <v>10908</v>
      </c>
      <c r="J905" t="s">
        <v>7456</v>
      </c>
      <c r="K905" t="s">
        <v>74</v>
      </c>
      <c r="L905" t="s">
        <v>74</v>
      </c>
      <c r="M905" t="s">
        <v>77</v>
      </c>
      <c r="N905" t="s">
        <v>78</v>
      </c>
      <c r="O905" t="s">
        <v>74</v>
      </c>
      <c r="P905" t="s">
        <v>74</v>
      </c>
      <c r="Q905" t="s">
        <v>74</v>
      </c>
      <c r="R905" t="s">
        <v>74</v>
      </c>
      <c r="S905" t="s">
        <v>74</v>
      </c>
      <c r="T905" t="s">
        <v>10909</v>
      </c>
      <c r="U905" t="s">
        <v>10910</v>
      </c>
      <c r="V905" t="s">
        <v>10911</v>
      </c>
      <c r="W905" t="s">
        <v>74</v>
      </c>
      <c r="X905" t="s">
        <v>74</v>
      </c>
      <c r="Y905" t="s">
        <v>10912</v>
      </c>
      <c r="Z905" t="s">
        <v>74</v>
      </c>
      <c r="AA905" t="s">
        <v>74</v>
      </c>
      <c r="AB905" t="s">
        <v>74</v>
      </c>
      <c r="AC905" t="s">
        <v>74</v>
      </c>
      <c r="AD905" t="s">
        <v>74</v>
      </c>
      <c r="AE905" t="s">
        <v>74</v>
      </c>
      <c r="AF905" t="s">
        <v>74</v>
      </c>
      <c r="AG905">
        <v>87</v>
      </c>
      <c r="AH905">
        <v>48</v>
      </c>
      <c r="AI905">
        <v>60</v>
      </c>
      <c r="AJ905">
        <v>6</v>
      </c>
      <c r="AK905">
        <v>28</v>
      </c>
      <c r="AL905" t="s">
        <v>877</v>
      </c>
      <c r="AM905" t="s">
        <v>826</v>
      </c>
      <c r="AN905" t="s">
        <v>827</v>
      </c>
      <c r="AO905" t="s">
        <v>7465</v>
      </c>
      <c r="AP905" t="s">
        <v>10913</v>
      </c>
      <c r="AQ905" t="s">
        <v>74</v>
      </c>
      <c r="AR905" t="s">
        <v>10914</v>
      </c>
      <c r="AS905" t="s">
        <v>7467</v>
      </c>
      <c r="AT905" t="s">
        <v>10788</v>
      </c>
      <c r="AU905">
        <v>1997</v>
      </c>
      <c r="AV905">
        <v>3</v>
      </c>
      <c r="AW905">
        <v>4</v>
      </c>
      <c r="AX905" t="s">
        <v>74</v>
      </c>
      <c r="AY905" t="s">
        <v>74</v>
      </c>
      <c r="AZ905" t="s">
        <v>74</v>
      </c>
      <c r="BA905" t="s">
        <v>74</v>
      </c>
      <c r="BB905">
        <v>301</v>
      </c>
      <c r="BC905">
        <v>315</v>
      </c>
      <c r="BD905" t="s">
        <v>74</v>
      </c>
      <c r="BE905" t="s">
        <v>10915</v>
      </c>
      <c r="BF905" t="str">
        <f>HYPERLINK("http://dx.doi.org/10.1046/j.1365-2486.1997.00147.x","http://dx.doi.org/10.1046/j.1365-2486.1997.00147.x")</f>
        <v>http://dx.doi.org/10.1046/j.1365-2486.1997.00147.x</v>
      </c>
      <c r="BG905" t="s">
        <v>74</v>
      </c>
      <c r="BH905" t="s">
        <v>74</v>
      </c>
      <c r="BI905">
        <v>15</v>
      </c>
      <c r="BJ905" t="s">
        <v>1369</v>
      </c>
      <c r="BK905" t="s">
        <v>98</v>
      </c>
      <c r="BL905" t="s">
        <v>904</v>
      </c>
      <c r="BM905" t="s">
        <v>10916</v>
      </c>
      <c r="BN905" t="s">
        <v>74</v>
      </c>
      <c r="BO905" t="s">
        <v>74</v>
      </c>
      <c r="BP905" t="s">
        <v>74</v>
      </c>
      <c r="BQ905" t="s">
        <v>74</v>
      </c>
      <c r="BR905" t="s">
        <v>101</v>
      </c>
      <c r="BS905" t="s">
        <v>10917</v>
      </c>
      <c r="BT905" t="str">
        <f>HYPERLINK("https%3A%2F%2Fwww.webofscience.com%2Fwos%2Fwoscc%2Ffull-record%2FWOS:A1997XQ83800002","View Full Record in Web of Science")</f>
        <v>View Full Record in Web of Science</v>
      </c>
    </row>
    <row r="906" spans="1:72" x14ac:dyDescent="0.15">
      <c r="A906" t="s">
        <v>72</v>
      </c>
      <c r="B906" t="s">
        <v>10918</v>
      </c>
      <c r="C906" t="s">
        <v>74</v>
      </c>
      <c r="D906" t="s">
        <v>74</v>
      </c>
      <c r="E906" t="s">
        <v>74</v>
      </c>
      <c r="F906" t="s">
        <v>10918</v>
      </c>
      <c r="G906" t="s">
        <v>74</v>
      </c>
      <c r="H906" t="s">
        <v>74</v>
      </c>
      <c r="I906" t="s">
        <v>10919</v>
      </c>
      <c r="J906" t="s">
        <v>10920</v>
      </c>
      <c r="K906" t="s">
        <v>74</v>
      </c>
      <c r="L906" t="s">
        <v>74</v>
      </c>
      <c r="M906" t="s">
        <v>77</v>
      </c>
      <c r="N906" t="s">
        <v>379</v>
      </c>
      <c r="O906" t="s">
        <v>10921</v>
      </c>
      <c r="P906" t="s">
        <v>10922</v>
      </c>
      <c r="Q906" t="s">
        <v>10923</v>
      </c>
      <c r="R906" t="s">
        <v>74</v>
      </c>
      <c r="S906" t="s">
        <v>74</v>
      </c>
      <c r="T906" t="s">
        <v>10924</v>
      </c>
      <c r="U906" t="s">
        <v>10925</v>
      </c>
      <c r="V906" t="s">
        <v>10926</v>
      </c>
      <c r="W906" t="s">
        <v>74</v>
      </c>
      <c r="X906" t="s">
        <v>74</v>
      </c>
      <c r="Y906" t="s">
        <v>10927</v>
      </c>
      <c r="Z906" t="s">
        <v>74</v>
      </c>
      <c r="AA906" t="s">
        <v>10928</v>
      </c>
      <c r="AB906" t="s">
        <v>10929</v>
      </c>
      <c r="AC906" t="s">
        <v>74</v>
      </c>
      <c r="AD906" t="s">
        <v>74</v>
      </c>
      <c r="AE906" t="s">
        <v>74</v>
      </c>
      <c r="AF906" t="s">
        <v>74</v>
      </c>
      <c r="AG906">
        <v>50</v>
      </c>
      <c r="AH906">
        <v>69</v>
      </c>
      <c r="AI906">
        <v>74</v>
      </c>
      <c r="AJ906">
        <v>1</v>
      </c>
      <c r="AK906">
        <v>24</v>
      </c>
      <c r="AL906" t="s">
        <v>1469</v>
      </c>
      <c r="AM906" t="s">
        <v>201</v>
      </c>
      <c r="AN906" t="s">
        <v>10930</v>
      </c>
      <c r="AO906" t="s">
        <v>10931</v>
      </c>
      <c r="AP906" t="s">
        <v>74</v>
      </c>
      <c r="AQ906" t="s">
        <v>74</v>
      </c>
      <c r="AR906" t="s">
        <v>10932</v>
      </c>
      <c r="AS906" t="s">
        <v>10933</v>
      </c>
      <c r="AT906" t="s">
        <v>10788</v>
      </c>
      <c r="AU906">
        <v>1997</v>
      </c>
      <c r="AV906">
        <v>54</v>
      </c>
      <c r="AW906">
        <v>4</v>
      </c>
      <c r="AX906" t="s">
        <v>74</v>
      </c>
      <c r="AY906" t="s">
        <v>74</v>
      </c>
      <c r="AZ906" t="s">
        <v>74</v>
      </c>
      <c r="BA906" t="s">
        <v>74</v>
      </c>
      <c r="BB906">
        <v>635</v>
      </c>
      <c r="BC906">
        <v>644</v>
      </c>
      <c r="BD906" t="s">
        <v>74</v>
      </c>
      <c r="BE906" t="s">
        <v>10934</v>
      </c>
      <c r="BF906" t="str">
        <f>HYPERLINK("http://dx.doi.org/10.1006/jmsc.1997.0250","http://dx.doi.org/10.1006/jmsc.1997.0250")</f>
        <v>http://dx.doi.org/10.1006/jmsc.1997.0250</v>
      </c>
      <c r="BG906" t="s">
        <v>74</v>
      </c>
      <c r="BH906" t="s">
        <v>74</v>
      </c>
      <c r="BI906">
        <v>10</v>
      </c>
      <c r="BJ906" t="s">
        <v>5473</v>
      </c>
      <c r="BK906" t="s">
        <v>397</v>
      </c>
      <c r="BL906" t="s">
        <v>5473</v>
      </c>
      <c r="BM906" t="s">
        <v>10935</v>
      </c>
      <c r="BN906" t="s">
        <v>74</v>
      </c>
      <c r="BO906" t="s">
        <v>100</v>
      </c>
      <c r="BP906" t="s">
        <v>74</v>
      </c>
      <c r="BQ906" t="s">
        <v>74</v>
      </c>
      <c r="BR906" t="s">
        <v>101</v>
      </c>
      <c r="BS906" t="s">
        <v>10936</v>
      </c>
      <c r="BT906" t="str">
        <f>HYPERLINK("https%3A%2F%2Fwww.webofscience.com%2Fwos%2Fwoscc%2Ffull-record%2FWOS:A1997XU44800015","View Full Record in Web of Science")</f>
        <v>View Full Record in Web of Science</v>
      </c>
    </row>
    <row r="907" spans="1:72" x14ac:dyDescent="0.15">
      <c r="A907" t="s">
        <v>72</v>
      </c>
      <c r="B907" t="s">
        <v>10937</v>
      </c>
      <c r="C907" t="s">
        <v>74</v>
      </c>
      <c r="D907" t="s">
        <v>74</v>
      </c>
      <c r="E907" t="s">
        <v>74</v>
      </c>
      <c r="F907" t="s">
        <v>10937</v>
      </c>
      <c r="G907" t="s">
        <v>74</v>
      </c>
      <c r="H907" t="s">
        <v>74</v>
      </c>
      <c r="I907" t="s">
        <v>10938</v>
      </c>
      <c r="J907" t="s">
        <v>7486</v>
      </c>
      <c r="K907" t="s">
        <v>74</v>
      </c>
      <c r="L907" t="s">
        <v>74</v>
      </c>
      <c r="M907" t="s">
        <v>77</v>
      </c>
      <c r="N907" t="s">
        <v>78</v>
      </c>
      <c r="O907" t="s">
        <v>74</v>
      </c>
      <c r="P907" t="s">
        <v>74</v>
      </c>
      <c r="Q907" t="s">
        <v>74</v>
      </c>
      <c r="R907" t="s">
        <v>74</v>
      </c>
      <c r="S907" t="s">
        <v>74</v>
      </c>
      <c r="T907" t="s">
        <v>10939</v>
      </c>
      <c r="U907" t="s">
        <v>10940</v>
      </c>
      <c r="V907" t="s">
        <v>10941</v>
      </c>
      <c r="W907" t="s">
        <v>10942</v>
      </c>
      <c r="X907" t="s">
        <v>9339</v>
      </c>
      <c r="Y907" t="s">
        <v>10943</v>
      </c>
      <c r="Z907" t="s">
        <v>74</v>
      </c>
      <c r="AA907" t="s">
        <v>10944</v>
      </c>
      <c r="AB907" t="s">
        <v>10945</v>
      </c>
      <c r="AC907" t="s">
        <v>74</v>
      </c>
      <c r="AD907" t="s">
        <v>74</v>
      </c>
      <c r="AE907" t="s">
        <v>74</v>
      </c>
      <c r="AF907" t="s">
        <v>74</v>
      </c>
      <c r="AG907">
        <v>48</v>
      </c>
      <c r="AH907">
        <v>10</v>
      </c>
      <c r="AI907">
        <v>12</v>
      </c>
      <c r="AJ907">
        <v>0</v>
      </c>
      <c r="AK907">
        <v>2</v>
      </c>
      <c r="AL907" t="s">
        <v>4307</v>
      </c>
      <c r="AM907" t="s">
        <v>4308</v>
      </c>
      <c r="AN907" t="s">
        <v>10310</v>
      </c>
      <c r="AO907" t="s">
        <v>7495</v>
      </c>
      <c r="AP907" t="s">
        <v>74</v>
      </c>
      <c r="AQ907" t="s">
        <v>74</v>
      </c>
      <c r="AR907" t="s">
        <v>7496</v>
      </c>
      <c r="AS907" t="s">
        <v>7497</v>
      </c>
      <c r="AT907" t="s">
        <v>10788</v>
      </c>
      <c r="AU907">
        <v>1997</v>
      </c>
      <c r="AV907">
        <v>17</v>
      </c>
      <c r="AW907">
        <v>10</v>
      </c>
      <c r="AX907" t="s">
        <v>74</v>
      </c>
      <c r="AY907" t="s">
        <v>74</v>
      </c>
      <c r="AZ907" t="s">
        <v>74</v>
      </c>
      <c r="BA907" t="s">
        <v>74</v>
      </c>
      <c r="BB907">
        <v>1029</v>
      </c>
      <c r="BC907">
        <v>1054</v>
      </c>
      <c r="BD907" t="s">
        <v>74</v>
      </c>
      <c r="BE907" t="s">
        <v>10946</v>
      </c>
      <c r="BF907" t="str">
        <f>HYPERLINK("http://dx.doi.org/10.1002/(SICI)1097-0088(199708)17:10&lt;1029::AID-JOC168&gt;3.0.CO;2-9","http://dx.doi.org/10.1002/(SICI)1097-0088(199708)17:10&lt;1029::AID-JOC168&gt;3.0.CO;2-9")</f>
        <v>http://dx.doi.org/10.1002/(SICI)1097-0088(199708)17:10&lt;1029::AID-JOC168&gt;3.0.CO;2-9</v>
      </c>
      <c r="BG907" t="s">
        <v>74</v>
      </c>
      <c r="BH907" t="s">
        <v>74</v>
      </c>
      <c r="BI907">
        <v>26</v>
      </c>
      <c r="BJ907" t="s">
        <v>635</v>
      </c>
      <c r="BK907" t="s">
        <v>98</v>
      </c>
      <c r="BL907" t="s">
        <v>635</v>
      </c>
      <c r="BM907" t="s">
        <v>10947</v>
      </c>
      <c r="BN907" t="s">
        <v>74</v>
      </c>
      <c r="BO907" t="s">
        <v>74</v>
      </c>
      <c r="BP907" t="s">
        <v>74</v>
      </c>
      <c r="BQ907" t="s">
        <v>74</v>
      </c>
      <c r="BR907" t="s">
        <v>101</v>
      </c>
      <c r="BS907" t="s">
        <v>10948</v>
      </c>
      <c r="BT907" t="str">
        <f>HYPERLINK("https%3A%2F%2Fwww.webofscience.com%2Fwos%2Fwoscc%2Ffull-record%2FWOS:A1997XU49500002","View Full Record in Web of Science")</f>
        <v>View Full Record in Web of Science</v>
      </c>
    </row>
    <row r="908" spans="1:72" x14ac:dyDescent="0.15">
      <c r="A908" t="s">
        <v>72</v>
      </c>
      <c r="B908" t="s">
        <v>10949</v>
      </c>
      <c r="C908" t="s">
        <v>74</v>
      </c>
      <c r="D908" t="s">
        <v>74</v>
      </c>
      <c r="E908" t="s">
        <v>74</v>
      </c>
      <c r="F908" t="s">
        <v>10949</v>
      </c>
      <c r="G908" t="s">
        <v>74</v>
      </c>
      <c r="H908" t="s">
        <v>74</v>
      </c>
      <c r="I908" t="s">
        <v>10950</v>
      </c>
      <c r="J908" t="s">
        <v>10183</v>
      </c>
      <c r="K908" t="s">
        <v>74</v>
      </c>
      <c r="L908" t="s">
        <v>74</v>
      </c>
      <c r="M908" t="s">
        <v>77</v>
      </c>
      <c r="N908" t="s">
        <v>78</v>
      </c>
      <c r="O908" t="s">
        <v>74</v>
      </c>
      <c r="P908" t="s">
        <v>74</v>
      </c>
      <c r="Q908" t="s">
        <v>74</v>
      </c>
      <c r="R908" t="s">
        <v>74</v>
      </c>
      <c r="S908" t="s">
        <v>74</v>
      </c>
      <c r="T908" t="s">
        <v>10951</v>
      </c>
      <c r="U908" t="s">
        <v>10952</v>
      </c>
      <c r="V908" t="s">
        <v>10953</v>
      </c>
      <c r="W908" t="s">
        <v>74</v>
      </c>
      <c r="X908" t="s">
        <v>74</v>
      </c>
      <c r="Y908" t="s">
        <v>10954</v>
      </c>
      <c r="Z908" t="s">
        <v>74</v>
      </c>
      <c r="AA908" t="s">
        <v>74</v>
      </c>
      <c r="AB908" t="s">
        <v>74</v>
      </c>
      <c r="AC908" t="s">
        <v>74</v>
      </c>
      <c r="AD908" t="s">
        <v>74</v>
      </c>
      <c r="AE908" t="s">
        <v>74</v>
      </c>
      <c r="AF908" t="s">
        <v>74</v>
      </c>
      <c r="AG908">
        <v>16</v>
      </c>
      <c r="AH908">
        <v>27</v>
      </c>
      <c r="AI908">
        <v>27</v>
      </c>
      <c r="AJ908">
        <v>0</v>
      </c>
      <c r="AK908">
        <v>0</v>
      </c>
      <c r="AL908" t="s">
        <v>2697</v>
      </c>
      <c r="AM908" t="s">
        <v>115</v>
      </c>
      <c r="AN908" t="s">
        <v>10955</v>
      </c>
      <c r="AO908" t="s">
        <v>10195</v>
      </c>
      <c r="AP908" t="s">
        <v>74</v>
      </c>
      <c r="AQ908" t="s">
        <v>74</v>
      </c>
      <c r="AR908" t="s">
        <v>10196</v>
      </c>
      <c r="AS908" t="s">
        <v>10197</v>
      </c>
      <c r="AT908" t="s">
        <v>10788</v>
      </c>
      <c r="AU908">
        <v>1997</v>
      </c>
      <c r="AV908">
        <v>12</v>
      </c>
      <c r="AW908">
        <v>8</v>
      </c>
      <c r="AX908" t="s">
        <v>74</v>
      </c>
      <c r="AY908" t="s">
        <v>74</v>
      </c>
      <c r="AZ908" t="s">
        <v>74</v>
      </c>
      <c r="BA908" t="s">
        <v>74</v>
      </c>
      <c r="BB908">
        <v>791</v>
      </c>
      <c r="BC908">
        <v>796</v>
      </c>
      <c r="BD908" t="s">
        <v>74</v>
      </c>
      <c r="BE908" t="s">
        <v>10956</v>
      </c>
      <c r="BF908" t="str">
        <f>HYPERLINK("http://dx.doi.org/10.1039/a700750g","http://dx.doi.org/10.1039/a700750g")</f>
        <v>http://dx.doi.org/10.1039/a700750g</v>
      </c>
      <c r="BG908" t="s">
        <v>74</v>
      </c>
      <c r="BH908" t="s">
        <v>74</v>
      </c>
      <c r="BI908">
        <v>6</v>
      </c>
      <c r="BJ908" t="s">
        <v>10199</v>
      </c>
      <c r="BK908" t="s">
        <v>98</v>
      </c>
      <c r="BL908" t="s">
        <v>10200</v>
      </c>
      <c r="BM908" t="s">
        <v>10957</v>
      </c>
      <c r="BN908" t="s">
        <v>74</v>
      </c>
      <c r="BO908" t="s">
        <v>74</v>
      </c>
      <c r="BP908" t="s">
        <v>74</v>
      </c>
      <c r="BQ908" t="s">
        <v>74</v>
      </c>
      <c r="BR908" t="s">
        <v>101</v>
      </c>
      <c r="BS908" t="s">
        <v>10958</v>
      </c>
      <c r="BT908" t="str">
        <f>HYPERLINK("https%3A%2F%2Fwww.webofscience.com%2Fwos%2Fwoscc%2Ffull-record%2FWOS:A1997XR71700002","View Full Record in Web of Science")</f>
        <v>View Full Record in Web of Science</v>
      </c>
    </row>
    <row r="909" spans="1:72" x14ac:dyDescent="0.15">
      <c r="A909" t="s">
        <v>72</v>
      </c>
      <c r="B909" t="s">
        <v>10959</v>
      </c>
      <c r="C909" t="s">
        <v>74</v>
      </c>
      <c r="D909" t="s">
        <v>74</v>
      </c>
      <c r="E909" t="s">
        <v>74</v>
      </c>
      <c r="F909" t="s">
        <v>10959</v>
      </c>
      <c r="G909" t="s">
        <v>74</v>
      </c>
      <c r="H909" t="s">
        <v>74</v>
      </c>
      <c r="I909" t="s">
        <v>10960</v>
      </c>
      <c r="J909" t="s">
        <v>10961</v>
      </c>
      <c r="K909" t="s">
        <v>74</v>
      </c>
      <c r="L909" t="s">
        <v>74</v>
      </c>
      <c r="M909" t="s">
        <v>77</v>
      </c>
      <c r="N909" t="s">
        <v>78</v>
      </c>
      <c r="O909" t="s">
        <v>74</v>
      </c>
      <c r="P909" t="s">
        <v>74</v>
      </c>
      <c r="Q909" t="s">
        <v>74</v>
      </c>
      <c r="R909" t="s">
        <v>74</v>
      </c>
      <c r="S909" t="s">
        <v>74</v>
      </c>
      <c r="T909" t="s">
        <v>74</v>
      </c>
      <c r="U909" t="s">
        <v>10962</v>
      </c>
      <c r="V909" t="s">
        <v>10963</v>
      </c>
      <c r="W909" t="s">
        <v>10964</v>
      </c>
      <c r="X909" t="s">
        <v>10965</v>
      </c>
      <c r="Y909" t="s">
        <v>74</v>
      </c>
      <c r="Z909" t="s">
        <v>74</v>
      </c>
      <c r="AA909" t="s">
        <v>10966</v>
      </c>
      <c r="AB909" t="s">
        <v>74</v>
      </c>
      <c r="AC909" t="s">
        <v>74</v>
      </c>
      <c r="AD909" t="s">
        <v>74</v>
      </c>
      <c r="AE909" t="s">
        <v>74</v>
      </c>
      <c r="AF909" t="s">
        <v>74</v>
      </c>
      <c r="AG909">
        <v>31</v>
      </c>
      <c r="AH909">
        <v>8</v>
      </c>
      <c r="AI909">
        <v>8</v>
      </c>
      <c r="AJ909">
        <v>0</v>
      </c>
      <c r="AK909">
        <v>3</v>
      </c>
      <c r="AL909" t="s">
        <v>627</v>
      </c>
      <c r="AM909" t="s">
        <v>628</v>
      </c>
      <c r="AN909" t="s">
        <v>8550</v>
      </c>
      <c r="AO909" t="s">
        <v>10967</v>
      </c>
      <c r="AP909" t="s">
        <v>74</v>
      </c>
      <c r="AQ909" t="s">
        <v>74</v>
      </c>
      <c r="AR909" t="s">
        <v>10968</v>
      </c>
      <c r="AS909" t="s">
        <v>10969</v>
      </c>
      <c r="AT909" t="s">
        <v>10788</v>
      </c>
      <c r="AU909">
        <v>1997</v>
      </c>
      <c r="AV909">
        <v>14</v>
      </c>
      <c r="AW909">
        <v>4</v>
      </c>
      <c r="AX909" t="s">
        <v>74</v>
      </c>
      <c r="AY909" t="s">
        <v>74</v>
      </c>
      <c r="AZ909" t="s">
        <v>74</v>
      </c>
      <c r="BA909" t="s">
        <v>74</v>
      </c>
      <c r="BB909">
        <v>871</v>
      </c>
      <c r="BC909">
        <v>882</v>
      </c>
      <c r="BD909" t="s">
        <v>74</v>
      </c>
      <c r="BE909" t="s">
        <v>10970</v>
      </c>
      <c r="BF909" t="str">
        <f>HYPERLINK("http://dx.doi.org/10.1175/1520-0426(1997)014&lt;0871:TPAAOI&gt;2.0.CO;2","http://dx.doi.org/10.1175/1520-0426(1997)014&lt;0871:TPAAOI&gt;2.0.CO;2")</f>
        <v>http://dx.doi.org/10.1175/1520-0426(1997)014&lt;0871:TPAAOI&gt;2.0.CO;2</v>
      </c>
      <c r="BG909" t="s">
        <v>74</v>
      </c>
      <c r="BH909" t="s">
        <v>74</v>
      </c>
      <c r="BI909">
        <v>12</v>
      </c>
      <c r="BJ909" t="s">
        <v>10971</v>
      </c>
      <c r="BK909" t="s">
        <v>98</v>
      </c>
      <c r="BL909" t="s">
        <v>10972</v>
      </c>
      <c r="BM909" t="s">
        <v>10973</v>
      </c>
      <c r="BN909" t="s">
        <v>74</v>
      </c>
      <c r="BO909" t="s">
        <v>123</v>
      </c>
      <c r="BP909" t="s">
        <v>74</v>
      </c>
      <c r="BQ909" t="s">
        <v>74</v>
      </c>
      <c r="BR909" t="s">
        <v>101</v>
      </c>
      <c r="BS909" t="s">
        <v>10974</v>
      </c>
      <c r="BT909" t="str">
        <f>HYPERLINK("https%3A%2F%2Fwww.webofscience.com%2Fwos%2Fwoscc%2Ffull-record%2FWOS:A1997XN53200009","View Full Record in Web of Science")</f>
        <v>View Full Record in Web of Science</v>
      </c>
    </row>
    <row r="910" spans="1:72" x14ac:dyDescent="0.15">
      <c r="A910" t="s">
        <v>72</v>
      </c>
      <c r="B910" t="s">
        <v>10975</v>
      </c>
      <c r="C910" t="s">
        <v>74</v>
      </c>
      <c r="D910" t="s">
        <v>74</v>
      </c>
      <c r="E910" t="s">
        <v>74</v>
      </c>
      <c r="F910" t="s">
        <v>10975</v>
      </c>
      <c r="G910" t="s">
        <v>74</v>
      </c>
      <c r="H910" t="s">
        <v>74</v>
      </c>
      <c r="I910" t="s">
        <v>10976</v>
      </c>
      <c r="J910" t="s">
        <v>10977</v>
      </c>
      <c r="K910" t="s">
        <v>74</v>
      </c>
      <c r="L910" t="s">
        <v>74</v>
      </c>
      <c r="M910" t="s">
        <v>77</v>
      </c>
      <c r="N910" t="s">
        <v>52</v>
      </c>
      <c r="O910" t="s">
        <v>74</v>
      </c>
      <c r="P910" t="s">
        <v>74</v>
      </c>
      <c r="Q910" t="s">
        <v>74</v>
      </c>
      <c r="R910" t="s">
        <v>74</v>
      </c>
      <c r="S910" t="s">
        <v>74</v>
      </c>
      <c r="T910" t="s">
        <v>74</v>
      </c>
      <c r="U910" t="s">
        <v>74</v>
      </c>
      <c r="V910" t="s">
        <v>74</v>
      </c>
      <c r="W910" t="s">
        <v>10978</v>
      </c>
      <c r="X910" t="s">
        <v>10979</v>
      </c>
      <c r="Y910" t="s">
        <v>74</v>
      </c>
      <c r="Z910" t="s">
        <v>74</v>
      </c>
      <c r="AA910" t="s">
        <v>74</v>
      </c>
      <c r="AB910" t="s">
        <v>74</v>
      </c>
      <c r="AC910" t="s">
        <v>74</v>
      </c>
      <c r="AD910" t="s">
        <v>74</v>
      </c>
      <c r="AE910" t="s">
        <v>74</v>
      </c>
      <c r="AF910" t="s">
        <v>74</v>
      </c>
      <c r="AG910">
        <v>0</v>
      </c>
      <c r="AH910">
        <v>0</v>
      </c>
      <c r="AI910">
        <v>0</v>
      </c>
      <c r="AJ910">
        <v>0</v>
      </c>
      <c r="AK910">
        <v>0</v>
      </c>
      <c r="AL910" t="s">
        <v>10393</v>
      </c>
      <c r="AM910" t="s">
        <v>813</v>
      </c>
      <c r="AN910" t="s">
        <v>10394</v>
      </c>
      <c r="AO910" t="s">
        <v>10980</v>
      </c>
      <c r="AP910" t="s">
        <v>74</v>
      </c>
      <c r="AQ910" t="s">
        <v>74</v>
      </c>
      <c r="AR910" t="s">
        <v>10981</v>
      </c>
      <c r="AS910" t="s">
        <v>10982</v>
      </c>
      <c r="AT910" t="s">
        <v>10788</v>
      </c>
      <c r="AU910">
        <v>1997</v>
      </c>
      <c r="AV910">
        <v>12</v>
      </c>
      <c r="AW910" t="s">
        <v>74</v>
      </c>
      <c r="AX910" t="s">
        <v>74</v>
      </c>
      <c r="AY910">
        <v>1</v>
      </c>
      <c r="AZ910" t="s">
        <v>74</v>
      </c>
      <c r="BA910" t="s">
        <v>74</v>
      </c>
      <c r="BB910" t="s">
        <v>10983</v>
      </c>
      <c r="BC910" t="s">
        <v>10983</v>
      </c>
      <c r="BD910" t="s">
        <v>74</v>
      </c>
      <c r="BE910" t="s">
        <v>74</v>
      </c>
      <c r="BF910" t="s">
        <v>74</v>
      </c>
      <c r="BG910" t="s">
        <v>74</v>
      </c>
      <c r="BH910" t="s">
        <v>74</v>
      </c>
      <c r="BI910">
        <v>1</v>
      </c>
      <c r="BJ910" t="s">
        <v>597</v>
      </c>
      <c r="BK910" t="s">
        <v>98</v>
      </c>
      <c r="BL910" t="s">
        <v>597</v>
      </c>
      <c r="BM910" t="s">
        <v>10984</v>
      </c>
      <c r="BN910" t="s">
        <v>74</v>
      </c>
      <c r="BO910" t="s">
        <v>74</v>
      </c>
      <c r="BP910" t="s">
        <v>74</v>
      </c>
      <c r="BQ910" t="s">
        <v>74</v>
      </c>
      <c r="BR910" t="s">
        <v>101</v>
      </c>
      <c r="BS910" t="s">
        <v>10985</v>
      </c>
      <c r="BT910" t="str">
        <f>HYPERLINK("https%3A%2F%2Fwww.webofscience.com%2Fwos%2Fwoscc%2Ffull-record%2FWOS:A1997XP62700568","View Full Record in Web of Science")</f>
        <v>View Full Record in Web of Science</v>
      </c>
    </row>
    <row r="911" spans="1:72" x14ac:dyDescent="0.15">
      <c r="A911" t="s">
        <v>72</v>
      </c>
      <c r="B911" t="s">
        <v>10986</v>
      </c>
      <c r="C911" t="s">
        <v>74</v>
      </c>
      <c r="D911" t="s">
        <v>74</v>
      </c>
      <c r="E911" t="s">
        <v>74</v>
      </c>
      <c r="F911" t="s">
        <v>10986</v>
      </c>
      <c r="G911" t="s">
        <v>74</v>
      </c>
      <c r="H911" t="s">
        <v>74</v>
      </c>
      <c r="I911" t="s">
        <v>10987</v>
      </c>
      <c r="J911" t="s">
        <v>10988</v>
      </c>
      <c r="K911" t="s">
        <v>74</v>
      </c>
      <c r="L911" t="s">
        <v>74</v>
      </c>
      <c r="M911" t="s">
        <v>77</v>
      </c>
      <c r="N911" t="s">
        <v>78</v>
      </c>
      <c r="O911" t="s">
        <v>74</v>
      </c>
      <c r="P911" t="s">
        <v>74</v>
      </c>
      <c r="Q911" t="s">
        <v>74</v>
      </c>
      <c r="R911" t="s">
        <v>74</v>
      </c>
      <c r="S911" t="s">
        <v>74</v>
      </c>
      <c r="T911" t="s">
        <v>74</v>
      </c>
      <c r="U911" t="s">
        <v>10989</v>
      </c>
      <c r="V911" t="s">
        <v>10990</v>
      </c>
      <c r="W911" t="s">
        <v>10991</v>
      </c>
      <c r="X911" t="s">
        <v>10992</v>
      </c>
      <c r="Y911" t="s">
        <v>10993</v>
      </c>
      <c r="Z911" t="s">
        <v>74</v>
      </c>
      <c r="AA911" t="s">
        <v>10994</v>
      </c>
      <c r="AB911" t="s">
        <v>10995</v>
      </c>
      <c r="AC911" t="s">
        <v>74</v>
      </c>
      <c r="AD911" t="s">
        <v>74</v>
      </c>
      <c r="AE911" t="s">
        <v>74</v>
      </c>
      <c r="AF911" t="s">
        <v>74</v>
      </c>
      <c r="AG911">
        <v>31</v>
      </c>
      <c r="AH911">
        <v>10</v>
      </c>
      <c r="AI911">
        <v>10</v>
      </c>
      <c r="AJ911">
        <v>0</v>
      </c>
      <c r="AK911">
        <v>1</v>
      </c>
      <c r="AL911" t="s">
        <v>10996</v>
      </c>
      <c r="AM911" t="s">
        <v>10997</v>
      </c>
      <c r="AN911" t="s">
        <v>10998</v>
      </c>
      <c r="AO911" t="s">
        <v>10999</v>
      </c>
      <c r="AP911" t="s">
        <v>11000</v>
      </c>
      <c r="AQ911" t="s">
        <v>74</v>
      </c>
      <c r="AR911" t="s">
        <v>11001</v>
      </c>
      <c r="AS911" t="s">
        <v>11002</v>
      </c>
      <c r="AT911" t="s">
        <v>10788</v>
      </c>
      <c r="AU911">
        <v>1997</v>
      </c>
      <c r="AV911">
        <v>154</v>
      </c>
      <c r="AW911">
        <v>2</v>
      </c>
      <c r="AX911" t="s">
        <v>74</v>
      </c>
      <c r="AY911" t="s">
        <v>74</v>
      </c>
      <c r="AZ911" t="s">
        <v>74</v>
      </c>
      <c r="BA911" t="s">
        <v>74</v>
      </c>
      <c r="BB911">
        <v>193</v>
      </c>
      <c r="BC911">
        <v>200</v>
      </c>
      <c r="BD911" t="s">
        <v>74</v>
      </c>
      <c r="BE911" t="s">
        <v>11003</v>
      </c>
      <c r="BF911" t="str">
        <f>HYPERLINK("http://dx.doi.org/10.1677/joe.0.1540193","http://dx.doi.org/10.1677/joe.0.1540193")</f>
        <v>http://dx.doi.org/10.1677/joe.0.1540193</v>
      </c>
      <c r="BG911" t="s">
        <v>74</v>
      </c>
      <c r="BH911" t="s">
        <v>74</v>
      </c>
      <c r="BI911">
        <v>8</v>
      </c>
      <c r="BJ911" t="s">
        <v>597</v>
      </c>
      <c r="BK911" t="s">
        <v>98</v>
      </c>
      <c r="BL911" t="s">
        <v>597</v>
      </c>
      <c r="BM911" t="s">
        <v>11004</v>
      </c>
      <c r="BN911">
        <v>9291829</v>
      </c>
      <c r="BO911" t="s">
        <v>74</v>
      </c>
      <c r="BP911" t="s">
        <v>74</v>
      </c>
      <c r="BQ911" t="s">
        <v>74</v>
      </c>
      <c r="BR911" t="s">
        <v>101</v>
      </c>
      <c r="BS911" t="s">
        <v>11005</v>
      </c>
      <c r="BT911" t="str">
        <f>HYPERLINK("https%3A%2F%2Fwww.webofscience.com%2Fwos%2Fwoscc%2Ffull-record%2FWOS:A1997XP23800002","View Full Record in Web of Science")</f>
        <v>View Full Record in Web of Science</v>
      </c>
    </row>
    <row r="912" spans="1:72" x14ac:dyDescent="0.15">
      <c r="A912" t="s">
        <v>72</v>
      </c>
      <c r="B912" t="s">
        <v>11006</v>
      </c>
      <c r="C912" t="s">
        <v>74</v>
      </c>
      <c r="D912" t="s">
        <v>74</v>
      </c>
      <c r="E912" t="s">
        <v>74</v>
      </c>
      <c r="F912" t="s">
        <v>11006</v>
      </c>
      <c r="G912" t="s">
        <v>74</v>
      </c>
      <c r="H912" t="s">
        <v>74</v>
      </c>
      <c r="I912" t="s">
        <v>11007</v>
      </c>
      <c r="J912" t="s">
        <v>11008</v>
      </c>
      <c r="K912" t="s">
        <v>74</v>
      </c>
      <c r="L912" t="s">
        <v>74</v>
      </c>
      <c r="M912" t="s">
        <v>77</v>
      </c>
      <c r="N912" t="s">
        <v>379</v>
      </c>
      <c r="O912" t="s">
        <v>11009</v>
      </c>
      <c r="P912" t="s">
        <v>11010</v>
      </c>
      <c r="Q912" t="s">
        <v>6241</v>
      </c>
      <c r="R912" t="s">
        <v>74</v>
      </c>
      <c r="S912" t="s">
        <v>74</v>
      </c>
      <c r="T912" t="s">
        <v>11011</v>
      </c>
      <c r="U912" t="s">
        <v>11012</v>
      </c>
      <c r="V912" t="s">
        <v>11013</v>
      </c>
      <c r="W912" t="s">
        <v>74</v>
      </c>
      <c r="X912" t="s">
        <v>74</v>
      </c>
      <c r="Y912" t="s">
        <v>11014</v>
      </c>
      <c r="Z912" t="s">
        <v>74</v>
      </c>
      <c r="AA912" t="s">
        <v>74</v>
      </c>
      <c r="AB912" t="s">
        <v>74</v>
      </c>
      <c r="AC912" t="s">
        <v>74</v>
      </c>
      <c r="AD912" t="s">
        <v>74</v>
      </c>
      <c r="AE912" t="s">
        <v>74</v>
      </c>
      <c r="AF912" t="s">
        <v>74</v>
      </c>
      <c r="AG912">
        <v>40</v>
      </c>
      <c r="AH912">
        <v>19</v>
      </c>
      <c r="AI912">
        <v>19</v>
      </c>
      <c r="AJ912">
        <v>0</v>
      </c>
      <c r="AK912">
        <v>2</v>
      </c>
      <c r="AL912" t="s">
        <v>11015</v>
      </c>
      <c r="AM912" t="s">
        <v>11016</v>
      </c>
      <c r="AN912" t="s">
        <v>11017</v>
      </c>
      <c r="AO912" t="s">
        <v>11018</v>
      </c>
      <c r="AP912" t="s">
        <v>74</v>
      </c>
      <c r="AQ912" t="s">
        <v>74</v>
      </c>
      <c r="AR912" t="s">
        <v>11019</v>
      </c>
      <c r="AS912" t="s">
        <v>11020</v>
      </c>
      <c r="AT912" t="s">
        <v>10788</v>
      </c>
      <c r="AU912">
        <v>1997</v>
      </c>
      <c r="AV912">
        <v>40</v>
      </c>
      <c r="AW912">
        <v>1</v>
      </c>
      <c r="AX912" t="s">
        <v>74</v>
      </c>
      <c r="AY912" t="s">
        <v>74</v>
      </c>
      <c r="AZ912" t="s">
        <v>74</v>
      </c>
      <c r="BA912" t="s">
        <v>74</v>
      </c>
      <c r="BB912">
        <v>23</v>
      </c>
      <c r="BC912">
        <v>28</v>
      </c>
      <c r="BD912" t="s">
        <v>74</v>
      </c>
      <c r="BE912" t="s">
        <v>11021</v>
      </c>
      <c r="BF912" t="str">
        <f>HYPERLINK("http://dx.doi.org/10.1016/S1011-1344(97)00028-6","http://dx.doi.org/10.1016/S1011-1344(97)00028-6")</f>
        <v>http://dx.doi.org/10.1016/S1011-1344(97)00028-6</v>
      </c>
      <c r="BG912" t="s">
        <v>74</v>
      </c>
      <c r="BH912" t="s">
        <v>74</v>
      </c>
      <c r="BI912">
        <v>6</v>
      </c>
      <c r="BJ912" t="s">
        <v>7774</v>
      </c>
      <c r="BK912" t="s">
        <v>3943</v>
      </c>
      <c r="BL912" t="s">
        <v>7774</v>
      </c>
      <c r="BM912" t="s">
        <v>11022</v>
      </c>
      <c r="BN912" t="s">
        <v>74</v>
      </c>
      <c r="BO912" t="s">
        <v>74</v>
      </c>
      <c r="BP912" t="s">
        <v>74</v>
      </c>
      <c r="BQ912" t="s">
        <v>74</v>
      </c>
      <c r="BR912" t="s">
        <v>101</v>
      </c>
      <c r="BS912" t="s">
        <v>11023</v>
      </c>
      <c r="BT912" t="str">
        <f>HYPERLINK("https%3A%2F%2Fwww.webofscience.com%2Fwos%2Fwoscc%2Ffull-record%2FWOS:A1997XW69900005","View Full Record in Web of Science")</f>
        <v>View Full Record in Web of Science</v>
      </c>
    </row>
    <row r="913" spans="1:72" x14ac:dyDescent="0.15">
      <c r="A913" t="s">
        <v>72</v>
      </c>
      <c r="B913" t="s">
        <v>11024</v>
      </c>
      <c r="C913" t="s">
        <v>74</v>
      </c>
      <c r="D913" t="s">
        <v>74</v>
      </c>
      <c r="E913" t="s">
        <v>74</v>
      </c>
      <c r="F913" t="s">
        <v>11024</v>
      </c>
      <c r="G913" t="s">
        <v>74</v>
      </c>
      <c r="H913" t="s">
        <v>74</v>
      </c>
      <c r="I913" t="s">
        <v>11025</v>
      </c>
      <c r="J913" t="s">
        <v>1730</v>
      </c>
      <c r="K913" t="s">
        <v>74</v>
      </c>
      <c r="L913" t="s">
        <v>74</v>
      </c>
      <c r="M913" t="s">
        <v>77</v>
      </c>
      <c r="N913" t="s">
        <v>78</v>
      </c>
      <c r="O913" t="s">
        <v>74</v>
      </c>
      <c r="P913" t="s">
        <v>74</v>
      </c>
      <c r="Q913" t="s">
        <v>74</v>
      </c>
      <c r="R913" t="s">
        <v>74</v>
      </c>
      <c r="S913" t="s">
        <v>74</v>
      </c>
      <c r="T913" t="s">
        <v>11026</v>
      </c>
      <c r="U913" t="s">
        <v>11027</v>
      </c>
      <c r="V913" t="s">
        <v>11028</v>
      </c>
      <c r="W913" t="s">
        <v>74</v>
      </c>
      <c r="X913" t="s">
        <v>74</v>
      </c>
      <c r="Y913" t="s">
        <v>11029</v>
      </c>
      <c r="Z913" t="s">
        <v>74</v>
      </c>
      <c r="AA913" t="s">
        <v>11030</v>
      </c>
      <c r="AB913" t="s">
        <v>1757</v>
      </c>
      <c r="AC913" t="s">
        <v>74</v>
      </c>
      <c r="AD913" t="s">
        <v>74</v>
      </c>
      <c r="AE913" t="s">
        <v>74</v>
      </c>
      <c r="AF913" t="s">
        <v>74</v>
      </c>
      <c r="AG913">
        <v>45</v>
      </c>
      <c r="AH913">
        <v>46</v>
      </c>
      <c r="AI913">
        <v>49</v>
      </c>
      <c r="AJ913">
        <v>1</v>
      </c>
      <c r="AK913">
        <v>18</v>
      </c>
      <c r="AL913" t="s">
        <v>1758</v>
      </c>
      <c r="AM913" t="s">
        <v>590</v>
      </c>
      <c r="AN913" t="s">
        <v>11031</v>
      </c>
      <c r="AO913" t="s">
        <v>1740</v>
      </c>
      <c r="AP913" t="s">
        <v>74</v>
      </c>
      <c r="AQ913" t="s">
        <v>74</v>
      </c>
      <c r="AR913" t="s">
        <v>1742</v>
      </c>
      <c r="AS913" t="s">
        <v>1743</v>
      </c>
      <c r="AT913" t="s">
        <v>10788</v>
      </c>
      <c r="AU913">
        <v>1997</v>
      </c>
      <c r="AV913">
        <v>33</v>
      </c>
      <c r="AW913">
        <v>4</v>
      </c>
      <c r="AX913" t="s">
        <v>74</v>
      </c>
      <c r="AY913" t="s">
        <v>74</v>
      </c>
      <c r="AZ913" t="s">
        <v>74</v>
      </c>
      <c r="BA913" t="s">
        <v>74</v>
      </c>
      <c r="BB913">
        <v>585</v>
      </c>
      <c r="BC913">
        <v>595</v>
      </c>
      <c r="BD913" t="s">
        <v>74</v>
      </c>
      <c r="BE913" t="s">
        <v>11032</v>
      </c>
      <c r="BF913" t="str">
        <f>HYPERLINK("http://dx.doi.org/10.1111/j.0022-3646.1997.00585.x","http://dx.doi.org/10.1111/j.0022-3646.1997.00585.x")</f>
        <v>http://dx.doi.org/10.1111/j.0022-3646.1997.00585.x</v>
      </c>
      <c r="BG913" t="s">
        <v>74</v>
      </c>
      <c r="BH913" t="s">
        <v>74</v>
      </c>
      <c r="BI913">
        <v>11</v>
      </c>
      <c r="BJ913" t="s">
        <v>1299</v>
      </c>
      <c r="BK913" t="s">
        <v>98</v>
      </c>
      <c r="BL913" t="s">
        <v>1299</v>
      </c>
      <c r="BM913" t="s">
        <v>11033</v>
      </c>
      <c r="BN913" t="s">
        <v>74</v>
      </c>
      <c r="BO913" t="s">
        <v>74</v>
      </c>
      <c r="BP913" t="s">
        <v>74</v>
      </c>
      <c r="BQ913" t="s">
        <v>74</v>
      </c>
      <c r="BR913" t="s">
        <v>101</v>
      </c>
      <c r="BS913" t="s">
        <v>11034</v>
      </c>
      <c r="BT913" t="str">
        <f>HYPERLINK("https%3A%2F%2Fwww.webofscience.com%2Fwos%2Fwoscc%2Ffull-record%2FWOS:A1997XR35500004","View Full Record in Web of Science")</f>
        <v>View Full Record in Web of Science</v>
      </c>
    </row>
    <row r="914" spans="1:72" x14ac:dyDescent="0.15">
      <c r="A914" t="s">
        <v>72</v>
      </c>
      <c r="B914" t="s">
        <v>11035</v>
      </c>
      <c r="C914" t="s">
        <v>74</v>
      </c>
      <c r="D914" t="s">
        <v>74</v>
      </c>
      <c r="E914" t="s">
        <v>74</v>
      </c>
      <c r="F914" t="s">
        <v>11035</v>
      </c>
      <c r="G914" t="s">
        <v>74</v>
      </c>
      <c r="H914" t="s">
        <v>74</v>
      </c>
      <c r="I914" t="s">
        <v>11036</v>
      </c>
      <c r="J914" t="s">
        <v>7603</v>
      </c>
      <c r="K914" t="s">
        <v>74</v>
      </c>
      <c r="L914" t="s">
        <v>74</v>
      </c>
      <c r="M914" t="s">
        <v>77</v>
      </c>
      <c r="N914" t="s">
        <v>78</v>
      </c>
      <c r="O914" t="s">
        <v>74</v>
      </c>
      <c r="P914" t="s">
        <v>74</v>
      </c>
      <c r="Q914" t="s">
        <v>74</v>
      </c>
      <c r="R914" t="s">
        <v>74</v>
      </c>
      <c r="S914" t="s">
        <v>74</v>
      </c>
      <c r="T914" t="s">
        <v>11037</v>
      </c>
      <c r="U914" t="s">
        <v>11038</v>
      </c>
      <c r="V914" t="s">
        <v>11039</v>
      </c>
      <c r="W914" t="s">
        <v>11040</v>
      </c>
      <c r="X914" t="s">
        <v>11041</v>
      </c>
      <c r="Y914" t="s">
        <v>2662</v>
      </c>
      <c r="Z914" t="s">
        <v>5721</v>
      </c>
      <c r="AA914" t="s">
        <v>74</v>
      </c>
      <c r="AB914" t="s">
        <v>424</v>
      </c>
      <c r="AC914" t="s">
        <v>74</v>
      </c>
      <c r="AD914" t="s">
        <v>74</v>
      </c>
      <c r="AE914" t="s">
        <v>74</v>
      </c>
      <c r="AF914" t="s">
        <v>74</v>
      </c>
      <c r="AG914">
        <v>53</v>
      </c>
      <c r="AH914">
        <v>16</v>
      </c>
      <c r="AI914">
        <v>17</v>
      </c>
      <c r="AJ914">
        <v>0</v>
      </c>
      <c r="AK914">
        <v>15</v>
      </c>
      <c r="AL914" t="s">
        <v>451</v>
      </c>
      <c r="AM914" t="s">
        <v>214</v>
      </c>
      <c r="AN914" t="s">
        <v>452</v>
      </c>
      <c r="AO914" t="s">
        <v>7610</v>
      </c>
      <c r="AP914" t="s">
        <v>74</v>
      </c>
      <c r="AQ914" t="s">
        <v>74</v>
      </c>
      <c r="AR914" t="s">
        <v>7611</v>
      </c>
      <c r="AS914" t="s">
        <v>7612</v>
      </c>
      <c r="AT914" t="s">
        <v>11042</v>
      </c>
      <c r="AU914">
        <v>1997</v>
      </c>
      <c r="AV914">
        <v>22</v>
      </c>
      <c r="AW914" t="s">
        <v>6437</v>
      </c>
      <c r="AX914" t="s">
        <v>74</v>
      </c>
      <c r="AY914" t="s">
        <v>74</v>
      </c>
      <c r="AZ914" t="s">
        <v>74</v>
      </c>
      <c r="BA914" t="s">
        <v>74</v>
      </c>
      <c r="BB914">
        <v>253</v>
      </c>
      <c r="BC914">
        <v>264</v>
      </c>
      <c r="BD914" t="s">
        <v>74</v>
      </c>
      <c r="BE914" t="s">
        <v>11043</v>
      </c>
      <c r="BF914" t="str">
        <f>HYPERLINK("http://dx.doi.org/10.1016/S0306-4565(97)00020-X","http://dx.doi.org/10.1016/S0306-4565(97)00020-X")</f>
        <v>http://dx.doi.org/10.1016/S0306-4565(97)00020-X</v>
      </c>
      <c r="BG914" t="s">
        <v>74</v>
      </c>
      <c r="BH914" t="s">
        <v>74</v>
      </c>
      <c r="BI914">
        <v>12</v>
      </c>
      <c r="BJ914" t="s">
        <v>7614</v>
      </c>
      <c r="BK914" t="s">
        <v>98</v>
      </c>
      <c r="BL914" t="s">
        <v>7615</v>
      </c>
      <c r="BM914" t="s">
        <v>11044</v>
      </c>
      <c r="BN914" t="s">
        <v>74</v>
      </c>
      <c r="BO914" t="s">
        <v>74</v>
      </c>
      <c r="BP914" t="s">
        <v>74</v>
      </c>
      <c r="BQ914" t="s">
        <v>74</v>
      </c>
      <c r="BR914" t="s">
        <v>101</v>
      </c>
      <c r="BS914" t="s">
        <v>11045</v>
      </c>
      <c r="BT914" t="str">
        <f>HYPERLINK("https%3A%2F%2Fwww.webofscience.com%2Fwos%2Fwoscc%2Ffull-record%2FWOS:000071363000004","View Full Record in Web of Science")</f>
        <v>View Full Record in Web of Science</v>
      </c>
    </row>
    <row r="915" spans="1:72" x14ac:dyDescent="0.15">
      <c r="A915" t="s">
        <v>72</v>
      </c>
      <c r="B915" t="s">
        <v>11035</v>
      </c>
      <c r="C915" t="s">
        <v>74</v>
      </c>
      <c r="D915" t="s">
        <v>74</v>
      </c>
      <c r="E915" t="s">
        <v>74</v>
      </c>
      <c r="F915" t="s">
        <v>11035</v>
      </c>
      <c r="G915" t="s">
        <v>74</v>
      </c>
      <c r="H915" t="s">
        <v>74</v>
      </c>
      <c r="I915" t="s">
        <v>11046</v>
      </c>
      <c r="J915" t="s">
        <v>7603</v>
      </c>
      <c r="K915" t="s">
        <v>74</v>
      </c>
      <c r="L915" t="s">
        <v>74</v>
      </c>
      <c r="M915" t="s">
        <v>77</v>
      </c>
      <c r="N915" t="s">
        <v>78</v>
      </c>
      <c r="O915" t="s">
        <v>74</v>
      </c>
      <c r="P915" t="s">
        <v>74</v>
      </c>
      <c r="Q915" t="s">
        <v>74</v>
      </c>
      <c r="R915" t="s">
        <v>74</v>
      </c>
      <c r="S915" t="s">
        <v>74</v>
      </c>
      <c r="T915" t="s">
        <v>11047</v>
      </c>
      <c r="U915" t="s">
        <v>11048</v>
      </c>
      <c r="V915" t="s">
        <v>11049</v>
      </c>
      <c r="W915" t="s">
        <v>11040</v>
      </c>
      <c r="X915" t="s">
        <v>11041</v>
      </c>
      <c r="Y915" t="s">
        <v>423</v>
      </c>
      <c r="Z915" t="s">
        <v>74</v>
      </c>
      <c r="AA915" t="s">
        <v>74</v>
      </c>
      <c r="AB915" t="s">
        <v>424</v>
      </c>
      <c r="AC915" t="s">
        <v>74</v>
      </c>
      <c r="AD915" t="s">
        <v>74</v>
      </c>
      <c r="AE915" t="s">
        <v>74</v>
      </c>
      <c r="AF915" t="s">
        <v>74</v>
      </c>
      <c r="AG915">
        <v>31</v>
      </c>
      <c r="AH915">
        <v>11</v>
      </c>
      <c r="AI915">
        <v>13</v>
      </c>
      <c r="AJ915">
        <v>0</v>
      </c>
      <c r="AK915">
        <v>11</v>
      </c>
      <c r="AL915" t="s">
        <v>451</v>
      </c>
      <c r="AM915" t="s">
        <v>214</v>
      </c>
      <c r="AN915" t="s">
        <v>452</v>
      </c>
      <c r="AO915" t="s">
        <v>7610</v>
      </c>
      <c r="AP915" t="s">
        <v>74</v>
      </c>
      <c r="AQ915" t="s">
        <v>74</v>
      </c>
      <c r="AR915" t="s">
        <v>7611</v>
      </c>
      <c r="AS915" t="s">
        <v>7612</v>
      </c>
      <c r="AT915" t="s">
        <v>11042</v>
      </c>
      <c r="AU915">
        <v>1997</v>
      </c>
      <c r="AV915">
        <v>22</v>
      </c>
      <c r="AW915" t="s">
        <v>6437</v>
      </c>
      <c r="AX915" t="s">
        <v>74</v>
      </c>
      <c r="AY915" t="s">
        <v>74</v>
      </c>
      <c r="AZ915" t="s">
        <v>74</v>
      </c>
      <c r="BA915" t="s">
        <v>74</v>
      </c>
      <c r="BB915">
        <v>265</v>
      </c>
      <c r="BC915">
        <v>273</v>
      </c>
      <c r="BD915" t="s">
        <v>74</v>
      </c>
      <c r="BE915" t="s">
        <v>11050</v>
      </c>
      <c r="BF915" t="str">
        <f>HYPERLINK("http://dx.doi.org/10.1016/S0306-4565(97)00021-1","http://dx.doi.org/10.1016/S0306-4565(97)00021-1")</f>
        <v>http://dx.doi.org/10.1016/S0306-4565(97)00021-1</v>
      </c>
      <c r="BG915" t="s">
        <v>74</v>
      </c>
      <c r="BH915" t="s">
        <v>74</v>
      </c>
      <c r="BI915">
        <v>9</v>
      </c>
      <c r="BJ915" t="s">
        <v>7614</v>
      </c>
      <c r="BK915" t="s">
        <v>98</v>
      </c>
      <c r="BL915" t="s">
        <v>7615</v>
      </c>
      <c r="BM915" t="s">
        <v>11044</v>
      </c>
      <c r="BN915" t="s">
        <v>74</v>
      </c>
      <c r="BO915" t="s">
        <v>74</v>
      </c>
      <c r="BP915" t="s">
        <v>74</v>
      </c>
      <c r="BQ915" t="s">
        <v>74</v>
      </c>
      <c r="BR915" t="s">
        <v>101</v>
      </c>
      <c r="BS915" t="s">
        <v>11051</v>
      </c>
      <c r="BT915" t="str">
        <f>HYPERLINK("https%3A%2F%2Fwww.webofscience.com%2Fwos%2Fwoscc%2Ffull-record%2FWOS:000071363000005","View Full Record in Web of Science")</f>
        <v>View Full Record in Web of Science</v>
      </c>
    </row>
    <row r="916" spans="1:72" x14ac:dyDescent="0.15">
      <c r="A916" t="s">
        <v>72</v>
      </c>
      <c r="B916" t="s">
        <v>11052</v>
      </c>
      <c r="C916" t="s">
        <v>74</v>
      </c>
      <c r="D916" t="s">
        <v>74</v>
      </c>
      <c r="E916" t="s">
        <v>74</v>
      </c>
      <c r="F916" t="s">
        <v>11052</v>
      </c>
      <c r="G916" t="s">
        <v>74</v>
      </c>
      <c r="H916" t="s">
        <v>74</v>
      </c>
      <c r="I916" t="s">
        <v>11053</v>
      </c>
      <c r="J916" t="s">
        <v>1776</v>
      </c>
      <c r="K916" t="s">
        <v>74</v>
      </c>
      <c r="L916" t="s">
        <v>74</v>
      </c>
      <c r="M916" t="s">
        <v>77</v>
      </c>
      <c r="N916" t="s">
        <v>78</v>
      </c>
      <c r="O916" t="s">
        <v>74</v>
      </c>
      <c r="P916" t="s">
        <v>74</v>
      </c>
      <c r="Q916" t="s">
        <v>74</v>
      </c>
      <c r="R916" t="s">
        <v>74</v>
      </c>
      <c r="S916" t="s">
        <v>74</v>
      </c>
      <c r="T916" t="s">
        <v>74</v>
      </c>
      <c r="U916" t="s">
        <v>74</v>
      </c>
      <c r="V916" t="s">
        <v>11054</v>
      </c>
      <c r="W916" t="s">
        <v>74</v>
      </c>
      <c r="X916" t="s">
        <v>74</v>
      </c>
      <c r="Y916" t="s">
        <v>11055</v>
      </c>
      <c r="Z916" t="s">
        <v>74</v>
      </c>
      <c r="AA916" t="s">
        <v>74</v>
      </c>
      <c r="AB916" t="s">
        <v>11056</v>
      </c>
      <c r="AC916" t="s">
        <v>74</v>
      </c>
      <c r="AD916" t="s">
        <v>74</v>
      </c>
      <c r="AE916" t="s">
        <v>74</v>
      </c>
      <c r="AF916" t="s">
        <v>74</v>
      </c>
      <c r="AG916">
        <v>27</v>
      </c>
      <c r="AH916">
        <v>10</v>
      </c>
      <c r="AI916">
        <v>10</v>
      </c>
      <c r="AJ916">
        <v>0</v>
      </c>
      <c r="AK916">
        <v>1</v>
      </c>
      <c r="AL916" t="s">
        <v>1692</v>
      </c>
      <c r="AM916" t="s">
        <v>214</v>
      </c>
      <c r="AN916" t="s">
        <v>10259</v>
      </c>
      <c r="AO916" t="s">
        <v>1783</v>
      </c>
      <c r="AP916" t="s">
        <v>74</v>
      </c>
      <c r="AQ916" t="s">
        <v>74</v>
      </c>
      <c r="AR916" t="s">
        <v>1785</v>
      </c>
      <c r="AS916" t="s">
        <v>1786</v>
      </c>
      <c r="AT916" t="s">
        <v>10788</v>
      </c>
      <c r="AU916">
        <v>1997</v>
      </c>
      <c r="AV916">
        <v>242</v>
      </c>
      <c r="AW916" t="s">
        <v>74</v>
      </c>
      <c r="AX916">
        <v>4</v>
      </c>
      <c r="AY916" t="s">
        <v>74</v>
      </c>
      <c r="AZ916" t="s">
        <v>74</v>
      </c>
      <c r="BA916" t="s">
        <v>74</v>
      </c>
      <c r="BB916">
        <v>605</v>
      </c>
      <c r="BC916">
        <v>621</v>
      </c>
      <c r="BD916" t="s">
        <v>74</v>
      </c>
      <c r="BE916" t="s">
        <v>74</v>
      </c>
      <c r="BF916" t="s">
        <v>74</v>
      </c>
      <c r="BG916" t="s">
        <v>74</v>
      </c>
      <c r="BH916" t="s">
        <v>74</v>
      </c>
      <c r="BI916">
        <v>17</v>
      </c>
      <c r="BJ916" t="s">
        <v>417</v>
      </c>
      <c r="BK916" t="s">
        <v>98</v>
      </c>
      <c r="BL916" t="s">
        <v>417</v>
      </c>
      <c r="BM916" t="s">
        <v>11057</v>
      </c>
      <c r="BN916" t="s">
        <v>74</v>
      </c>
      <c r="BO916" t="s">
        <v>74</v>
      </c>
      <c r="BP916" t="s">
        <v>74</v>
      </c>
      <c r="BQ916" t="s">
        <v>74</v>
      </c>
      <c r="BR916" t="s">
        <v>101</v>
      </c>
      <c r="BS916" t="s">
        <v>11058</v>
      </c>
      <c r="BT916" t="str">
        <f>HYPERLINK("https%3A%2F%2Fwww.webofscience.com%2Fwos%2Fwoscc%2Ffull-record%2FWOS:A1997XR08300001","View Full Record in Web of Science")</f>
        <v>View Full Record in Web of Science</v>
      </c>
    </row>
    <row r="917" spans="1:72" x14ac:dyDescent="0.15">
      <c r="A917" t="s">
        <v>72</v>
      </c>
      <c r="B917" t="s">
        <v>11059</v>
      </c>
      <c r="C917" t="s">
        <v>74</v>
      </c>
      <c r="D917" t="s">
        <v>74</v>
      </c>
      <c r="E917" t="s">
        <v>74</v>
      </c>
      <c r="F917" t="s">
        <v>11059</v>
      </c>
      <c r="G917" t="s">
        <v>74</v>
      </c>
      <c r="H917" t="s">
        <v>74</v>
      </c>
      <c r="I917" t="s">
        <v>11060</v>
      </c>
      <c r="J917" t="s">
        <v>1792</v>
      </c>
      <c r="K917" t="s">
        <v>74</v>
      </c>
      <c r="L917" t="s">
        <v>74</v>
      </c>
      <c r="M917" t="s">
        <v>77</v>
      </c>
      <c r="N917" t="s">
        <v>78</v>
      </c>
      <c r="O917" t="s">
        <v>74</v>
      </c>
      <c r="P917" t="s">
        <v>74</v>
      </c>
      <c r="Q917" t="s">
        <v>74</v>
      </c>
      <c r="R917" t="s">
        <v>74</v>
      </c>
      <c r="S917" t="s">
        <v>74</v>
      </c>
      <c r="T917" t="s">
        <v>74</v>
      </c>
      <c r="U917" t="s">
        <v>11061</v>
      </c>
      <c r="V917" t="s">
        <v>11062</v>
      </c>
      <c r="W917" t="s">
        <v>11063</v>
      </c>
      <c r="X917" t="s">
        <v>11064</v>
      </c>
      <c r="Y917" t="s">
        <v>11065</v>
      </c>
      <c r="Z917" t="s">
        <v>74</v>
      </c>
      <c r="AA917" t="s">
        <v>74</v>
      </c>
      <c r="AB917" t="s">
        <v>74</v>
      </c>
      <c r="AC917" t="s">
        <v>74</v>
      </c>
      <c r="AD917" t="s">
        <v>74</v>
      </c>
      <c r="AE917" t="s">
        <v>74</v>
      </c>
      <c r="AF917" t="s">
        <v>74</v>
      </c>
      <c r="AG917">
        <v>64</v>
      </c>
      <c r="AH917">
        <v>44</v>
      </c>
      <c r="AI917">
        <v>48</v>
      </c>
      <c r="AJ917">
        <v>0</v>
      </c>
      <c r="AK917">
        <v>7</v>
      </c>
      <c r="AL917" t="s">
        <v>897</v>
      </c>
      <c r="AM917" t="s">
        <v>244</v>
      </c>
      <c r="AN917" t="s">
        <v>7783</v>
      </c>
      <c r="AO917" t="s">
        <v>1798</v>
      </c>
      <c r="AP917" t="s">
        <v>74</v>
      </c>
      <c r="AQ917" t="s">
        <v>74</v>
      </c>
      <c r="AR917" t="s">
        <v>1799</v>
      </c>
      <c r="AS917" t="s">
        <v>1800</v>
      </c>
      <c r="AT917" t="s">
        <v>10788</v>
      </c>
      <c r="AU917">
        <v>1997</v>
      </c>
      <c r="AV917">
        <v>129</v>
      </c>
      <c r="AW917">
        <v>2</v>
      </c>
      <c r="AX917" t="s">
        <v>74</v>
      </c>
      <c r="AY917" t="s">
        <v>74</v>
      </c>
      <c r="AZ917" t="s">
        <v>74</v>
      </c>
      <c r="BA917" t="s">
        <v>74</v>
      </c>
      <c r="BB917">
        <v>343</v>
      </c>
      <c r="BC917">
        <v>353</v>
      </c>
      <c r="BD917" t="s">
        <v>74</v>
      </c>
      <c r="BE917" t="s">
        <v>11066</v>
      </c>
      <c r="BF917" t="str">
        <f>HYPERLINK("http://dx.doi.org/10.1007/s002270050174","http://dx.doi.org/10.1007/s002270050174")</f>
        <v>http://dx.doi.org/10.1007/s002270050174</v>
      </c>
      <c r="BG917" t="s">
        <v>74</v>
      </c>
      <c r="BH917" t="s">
        <v>74</v>
      </c>
      <c r="BI917">
        <v>11</v>
      </c>
      <c r="BJ917" t="s">
        <v>1802</v>
      </c>
      <c r="BK917" t="s">
        <v>98</v>
      </c>
      <c r="BL917" t="s">
        <v>1802</v>
      </c>
      <c r="BM917" t="s">
        <v>11067</v>
      </c>
      <c r="BN917" t="s">
        <v>74</v>
      </c>
      <c r="BO917" t="s">
        <v>74</v>
      </c>
      <c r="BP917" t="s">
        <v>74</v>
      </c>
      <c r="BQ917" t="s">
        <v>74</v>
      </c>
      <c r="BR917" t="s">
        <v>101</v>
      </c>
      <c r="BS917" t="s">
        <v>11068</v>
      </c>
      <c r="BT917" t="str">
        <f>HYPERLINK("https%3A%2F%2Fwww.webofscience.com%2Fwos%2Fwoscc%2Ffull-record%2FWOS:A1997XW28500014","View Full Record in Web of Science")</f>
        <v>View Full Record in Web of Science</v>
      </c>
    </row>
    <row r="918" spans="1:72" x14ac:dyDescent="0.15">
      <c r="A918" t="s">
        <v>72</v>
      </c>
      <c r="B918" t="s">
        <v>11069</v>
      </c>
      <c r="C918" t="s">
        <v>74</v>
      </c>
      <c r="D918" t="s">
        <v>74</v>
      </c>
      <c r="E918" t="s">
        <v>74</v>
      </c>
      <c r="F918" t="s">
        <v>11069</v>
      </c>
      <c r="G918" t="s">
        <v>74</v>
      </c>
      <c r="H918" t="s">
        <v>74</v>
      </c>
      <c r="I918" t="s">
        <v>11070</v>
      </c>
      <c r="J918" t="s">
        <v>8634</v>
      </c>
      <c r="K918" t="s">
        <v>74</v>
      </c>
      <c r="L918" t="s">
        <v>74</v>
      </c>
      <c r="M918" t="s">
        <v>77</v>
      </c>
      <c r="N918" t="s">
        <v>78</v>
      </c>
      <c r="O918" t="s">
        <v>74</v>
      </c>
      <c r="P918" t="s">
        <v>74</v>
      </c>
      <c r="Q918" t="s">
        <v>74</v>
      </c>
      <c r="R918" t="s">
        <v>74</v>
      </c>
      <c r="S918" t="s">
        <v>74</v>
      </c>
      <c r="T918" t="s">
        <v>11071</v>
      </c>
      <c r="U918" t="s">
        <v>11072</v>
      </c>
      <c r="V918" t="s">
        <v>11073</v>
      </c>
      <c r="W918" t="s">
        <v>74</v>
      </c>
      <c r="X918" t="s">
        <v>74</v>
      </c>
      <c r="Y918" t="s">
        <v>11074</v>
      </c>
      <c r="Z918" t="s">
        <v>74</v>
      </c>
      <c r="AA918" t="s">
        <v>11075</v>
      </c>
      <c r="AB918" t="s">
        <v>11076</v>
      </c>
      <c r="AC918" t="s">
        <v>74</v>
      </c>
      <c r="AD918" t="s">
        <v>74</v>
      </c>
      <c r="AE918" t="s">
        <v>74</v>
      </c>
      <c r="AF918" t="s">
        <v>74</v>
      </c>
      <c r="AG918">
        <v>31</v>
      </c>
      <c r="AH918">
        <v>8</v>
      </c>
      <c r="AI918">
        <v>8</v>
      </c>
      <c r="AJ918">
        <v>0</v>
      </c>
      <c r="AK918">
        <v>6</v>
      </c>
      <c r="AL918" t="s">
        <v>1029</v>
      </c>
      <c r="AM918" t="s">
        <v>1030</v>
      </c>
      <c r="AN918" t="s">
        <v>1031</v>
      </c>
      <c r="AO918" t="s">
        <v>8642</v>
      </c>
      <c r="AP918" t="s">
        <v>74</v>
      </c>
      <c r="AQ918" t="s">
        <v>74</v>
      </c>
      <c r="AR918" t="s">
        <v>8644</v>
      </c>
      <c r="AS918" t="s">
        <v>8645</v>
      </c>
      <c r="AT918" t="s">
        <v>10788</v>
      </c>
      <c r="AU918">
        <v>1997</v>
      </c>
      <c r="AV918">
        <v>140</v>
      </c>
      <c r="AW918" t="s">
        <v>694</v>
      </c>
      <c r="AX918" t="s">
        <v>74</v>
      </c>
      <c r="AY918" t="s">
        <v>74</v>
      </c>
      <c r="AZ918" t="s">
        <v>74</v>
      </c>
      <c r="BA918" t="s">
        <v>74</v>
      </c>
      <c r="BB918">
        <v>237</v>
      </c>
      <c r="BC918">
        <v>248</v>
      </c>
      <c r="BD918" t="s">
        <v>74</v>
      </c>
      <c r="BE918" t="s">
        <v>11077</v>
      </c>
      <c r="BF918" t="str">
        <f>HYPERLINK("http://dx.doi.org/10.1016/S0025-3227(97)00033-9","http://dx.doi.org/10.1016/S0025-3227(97)00033-9")</f>
        <v>http://dx.doi.org/10.1016/S0025-3227(97)00033-9</v>
      </c>
      <c r="BG918" t="s">
        <v>74</v>
      </c>
      <c r="BH918" t="s">
        <v>74</v>
      </c>
      <c r="BI918">
        <v>12</v>
      </c>
      <c r="BJ918" t="s">
        <v>8647</v>
      </c>
      <c r="BK918" t="s">
        <v>98</v>
      </c>
      <c r="BL918" t="s">
        <v>8648</v>
      </c>
      <c r="BM918" t="s">
        <v>11078</v>
      </c>
      <c r="BN918" t="s">
        <v>74</v>
      </c>
      <c r="BO918" t="s">
        <v>74</v>
      </c>
      <c r="BP918" t="s">
        <v>74</v>
      </c>
      <c r="BQ918" t="s">
        <v>74</v>
      </c>
      <c r="BR918" t="s">
        <v>101</v>
      </c>
      <c r="BS918" t="s">
        <v>11079</v>
      </c>
      <c r="BT918" t="str">
        <f>HYPERLINK("https%3A%2F%2Fwww.webofscience.com%2Fwos%2Fwoscc%2Ffull-record%2FWOS:A1997XZ78100002","View Full Record in Web of Science")</f>
        <v>View Full Record in Web of Science</v>
      </c>
    </row>
    <row r="919" spans="1:72" x14ac:dyDescent="0.15">
      <c r="A919" t="s">
        <v>72</v>
      </c>
      <c r="B919" t="s">
        <v>11080</v>
      </c>
      <c r="C919" t="s">
        <v>74</v>
      </c>
      <c r="D919" t="s">
        <v>74</v>
      </c>
      <c r="E919" t="s">
        <v>74</v>
      </c>
      <c r="F919" t="s">
        <v>11080</v>
      </c>
      <c r="G919" t="s">
        <v>74</v>
      </c>
      <c r="H919" t="s">
        <v>74</v>
      </c>
      <c r="I919" t="s">
        <v>11081</v>
      </c>
      <c r="J919" t="s">
        <v>8634</v>
      </c>
      <c r="K919" t="s">
        <v>74</v>
      </c>
      <c r="L919" t="s">
        <v>74</v>
      </c>
      <c r="M919" t="s">
        <v>77</v>
      </c>
      <c r="N919" t="s">
        <v>78</v>
      </c>
      <c r="O919" t="s">
        <v>74</v>
      </c>
      <c r="P919" t="s">
        <v>74</v>
      </c>
      <c r="Q919" t="s">
        <v>74</v>
      </c>
      <c r="R919" t="s">
        <v>74</v>
      </c>
      <c r="S919" t="s">
        <v>74</v>
      </c>
      <c r="T919" t="s">
        <v>11082</v>
      </c>
      <c r="U919" t="s">
        <v>11083</v>
      </c>
      <c r="V919" t="s">
        <v>11084</v>
      </c>
      <c r="W919" t="s">
        <v>11085</v>
      </c>
      <c r="X919" t="s">
        <v>11086</v>
      </c>
      <c r="Y919" t="s">
        <v>11087</v>
      </c>
      <c r="Z919" t="s">
        <v>74</v>
      </c>
      <c r="AA919" t="s">
        <v>74</v>
      </c>
      <c r="AB919" t="s">
        <v>74</v>
      </c>
      <c r="AC919" t="s">
        <v>74</v>
      </c>
      <c r="AD919" t="s">
        <v>74</v>
      </c>
      <c r="AE919" t="s">
        <v>74</v>
      </c>
      <c r="AF919" t="s">
        <v>74</v>
      </c>
      <c r="AG919">
        <v>46</v>
      </c>
      <c r="AH919">
        <v>48</v>
      </c>
      <c r="AI919">
        <v>49</v>
      </c>
      <c r="AJ919">
        <v>0</v>
      </c>
      <c r="AK919">
        <v>2</v>
      </c>
      <c r="AL919" t="s">
        <v>1029</v>
      </c>
      <c r="AM919" t="s">
        <v>1030</v>
      </c>
      <c r="AN919" t="s">
        <v>1031</v>
      </c>
      <c r="AO919" t="s">
        <v>8642</v>
      </c>
      <c r="AP919" t="s">
        <v>8643</v>
      </c>
      <c r="AQ919" t="s">
        <v>74</v>
      </c>
      <c r="AR919" t="s">
        <v>8644</v>
      </c>
      <c r="AS919" t="s">
        <v>8645</v>
      </c>
      <c r="AT919" t="s">
        <v>10788</v>
      </c>
      <c r="AU919">
        <v>1997</v>
      </c>
      <c r="AV919">
        <v>140</v>
      </c>
      <c r="AW919" t="s">
        <v>694</v>
      </c>
      <c r="AX919" t="s">
        <v>74</v>
      </c>
      <c r="AY919" t="s">
        <v>74</v>
      </c>
      <c r="AZ919" t="s">
        <v>74</v>
      </c>
      <c r="BA919" t="s">
        <v>74</v>
      </c>
      <c r="BB919">
        <v>265</v>
      </c>
      <c r="BC919">
        <v>282</v>
      </c>
      <c r="BD919" t="s">
        <v>74</v>
      </c>
      <c r="BE919" t="s">
        <v>74</v>
      </c>
      <c r="BF919" t="s">
        <v>74</v>
      </c>
      <c r="BG919" t="s">
        <v>74</v>
      </c>
      <c r="BH919" t="s">
        <v>74</v>
      </c>
      <c r="BI919">
        <v>18</v>
      </c>
      <c r="BJ919" t="s">
        <v>8647</v>
      </c>
      <c r="BK919" t="s">
        <v>98</v>
      </c>
      <c r="BL919" t="s">
        <v>8648</v>
      </c>
      <c r="BM919" t="s">
        <v>11078</v>
      </c>
      <c r="BN919" t="s">
        <v>74</v>
      </c>
      <c r="BO919" t="s">
        <v>74</v>
      </c>
      <c r="BP919" t="s">
        <v>74</v>
      </c>
      <c r="BQ919" t="s">
        <v>74</v>
      </c>
      <c r="BR919" t="s">
        <v>101</v>
      </c>
      <c r="BS919" t="s">
        <v>11088</v>
      </c>
      <c r="BT919" t="str">
        <f>HYPERLINK("https%3A%2F%2Fwww.webofscience.com%2Fwos%2Fwoscc%2Ffull-record%2FWOS:A1997XZ78100004","View Full Record in Web of Science")</f>
        <v>View Full Record in Web of Science</v>
      </c>
    </row>
    <row r="920" spans="1:72" x14ac:dyDescent="0.15">
      <c r="A920" t="s">
        <v>72</v>
      </c>
      <c r="B920" t="s">
        <v>11089</v>
      </c>
      <c r="C920" t="s">
        <v>74</v>
      </c>
      <c r="D920" t="s">
        <v>74</v>
      </c>
      <c r="E920" t="s">
        <v>74</v>
      </c>
      <c r="F920" t="s">
        <v>11089</v>
      </c>
      <c r="G920" t="s">
        <v>74</v>
      </c>
      <c r="H920" t="s">
        <v>74</v>
      </c>
      <c r="I920" t="s">
        <v>11090</v>
      </c>
      <c r="J920" t="s">
        <v>7709</v>
      </c>
      <c r="K920" t="s">
        <v>74</v>
      </c>
      <c r="L920" t="s">
        <v>74</v>
      </c>
      <c r="M920" t="s">
        <v>77</v>
      </c>
      <c r="N920" t="s">
        <v>78</v>
      </c>
      <c r="O920" t="s">
        <v>74</v>
      </c>
      <c r="P920" t="s">
        <v>74</v>
      </c>
      <c r="Q920" t="s">
        <v>74</v>
      </c>
      <c r="R920" t="s">
        <v>74</v>
      </c>
      <c r="S920" t="s">
        <v>74</v>
      </c>
      <c r="T920" t="s">
        <v>11091</v>
      </c>
      <c r="U920" t="s">
        <v>11092</v>
      </c>
      <c r="V920" t="s">
        <v>11093</v>
      </c>
      <c r="W920" t="s">
        <v>11094</v>
      </c>
      <c r="X920" t="s">
        <v>11095</v>
      </c>
      <c r="Y920" t="s">
        <v>11096</v>
      </c>
      <c r="Z920" t="s">
        <v>74</v>
      </c>
      <c r="AA920" t="s">
        <v>11097</v>
      </c>
      <c r="AB920" t="s">
        <v>11098</v>
      </c>
      <c r="AC920" t="s">
        <v>74</v>
      </c>
      <c r="AD920" t="s">
        <v>74</v>
      </c>
      <c r="AE920" t="s">
        <v>74</v>
      </c>
      <c r="AF920" t="s">
        <v>74</v>
      </c>
      <c r="AG920">
        <v>62</v>
      </c>
      <c r="AH920">
        <v>42</v>
      </c>
      <c r="AI920">
        <v>47</v>
      </c>
      <c r="AJ920">
        <v>1</v>
      </c>
      <c r="AK920">
        <v>3</v>
      </c>
      <c r="AL920" t="s">
        <v>1029</v>
      </c>
      <c r="AM920" t="s">
        <v>1030</v>
      </c>
      <c r="AN920" t="s">
        <v>1031</v>
      </c>
      <c r="AO920" t="s">
        <v>7715</v>
      </c>
      <c r="AP920" t="s">
        <v>74</v>
      </c>
      <c r="AQ920" t="s">
        <v>74</v>
      </c>
      <c r="AR920" t="s">
        <v>7716</v>
      </c>
      <c r="AS920" t="s">
        <v>7717</v>
      </c>
      <c r="AT920" t="s">
        <v>10788</v>
      </c>
      <c r="AU920">
        <v>1997</v>
      </c>
      <c r="AV920">
        <v>31</v>
      </c>
      <c r="AW920" t="s">
        <v>694</v>
      </c>
      <c r="AX920" t="s">
        <v>74</v>
      </c>
      <c r="AY920" t="s">
        <v>74</v>
      </c>
      <c r="AZ920" t="s">
        <v>74</v>
      </c>
      <c r="BA920" t="s">
        <v>74</v>
      </c>
      <c r="BB920">
        <v>97</v>
      </c>
      <c r="BC920">
        <v>133</v>
      </c>
      <c r="BD920" t="s">
        <v>74</v>
      </c>
      <c r="BE920" t="s">
        <v>11099</v>
      </c>
      <c r="BF920" t="str">
        <f>HYPERLINK("http://dx.doi.org/10.1016/S0377-8398(96)00061-8","http://dx.doi.org/10.1016/S0377-8398(96)00061-8")</f>
        <v>http://dx.doi.org/10.1016/S0377-8398(96)00061-8</v>
      </c>
      <c r="BG920" t="s">
        <v>74</v>
      </c>
      <c r="BH920" t="s">
        <v>74</v>
      </c>
      <c r="BI920">
        <v>37</v>
      </c>
      <c r="BJ920" t="s">
        <v>734</v>
      </c>
      <c r="BK920" t="s">
        <v>98</v>
      </c>
      <c r="BL920" t="s">
        <v>734</v>
      </c>
      <c r="BM920" t="s">
        <v>11100</v>
      </c>
      <c r="BN920" t="s">
        <v>74</v>
      </c>
      <c r="BO920" t="s">
        <v>74</v>
      </c>
      <c r="BP920" t="s">
        <v>74</v>
      </c>
      <c r="BQ920" t="s">
        <v>74</v>
      </c>
      <c r="BR920" t="s">
        <v>101</v>
      </c>
      <c r="BS920" t="s">
        <v>11101</v>
      </c>
      <c r="BT920" t="str">
        <f>HYPERLINK("https%3A%2F%2Fwww.webofscience.com%2Fwos%2Fwoscc%2Ffull-record%2FWOS:A1997XX48400001","View Full Record in Web of Science")</f>
        <v>View Full Record in Web of Science</v>
      </c>
    </row>
    <row r="921" spans="1:72" x14ac:dyDescent="0.15">
      <c r="A921" t="s">
        <v>72</v>
      </c>
      <c r="B921" t="s">
        <v>11102</v>
      </c>
      <c r="C921" t="s">
        <v>74</v>
      </c>
      <c r="D921" t="s">
        <v>74</v>
      </c>
      <c r="E921" t="s">
        <v>74</v>
      </c>
      <c r="F921" t="s">
        <v>11102</v>
      </c>
      <c r="G921" t="s">
        <v>74</v>
      </c>
      <c r="H921" t="s">
        <v>74</v>
      </c>
      <c r="I921" t="s">
        <v>11103</v>
      </c>
      <c r="J921" t="s">
        <v>8663</v>
      </c>
      <c r="K921" t="s">
        <v>74</v>
      </c>
      <c r="L921" t="s">
        <v>74</v>
      </c>
      <c r="M921" t="s">
        <v>77</v>
      </c>
      <c r="N921" t="s">
        <v>8231</v>
      </c>
      <c r="O921" t="s">
        <v>74</v>
      </c>
      <c r="P921" t="s">
        <v>74</v>
      </c>
      <c r="Q921" t="s">
        <v>74</v>
      </c>
      <c r="R921" t="s">
        <v>74</v>
      </c>
      <c r="S921" t="s">
        <v>74</v>
      </c>
      <c r="T921" t="s">
        <v>74</v>
      </c>
      <c r="U921" t="s">
        <v>74</v>
      </c>
      <c r="V921" t="s">
        <v>74</v>
      </c>
      <c r="W921" t="s">
        <v>74</v>
      </c>
      <c r="X921" t="s">
        <v>74</v>
      </c>
      <c r="Y921" t="s">
        <v>74</v>
      </c>
      <c r="Z921" t="s">
        <v>74</v>
      </c>
      <c r="AA921" t="s">
        <v>74</v>
      </c>
      <c r="AB921" t="s">
        <v>74</v>
      </c>
      <c r="AC921" t="s">
        <v>74</v>
      </c>
      <c r="AD921" t="s">
        <v>74</v>
      </c>
      <c r="AE921" t="s">
        <v>74</v>
      </c>
      <c r="AF921" t="s">
        <v>74</v>
      </c>
      <c r="AG921">
        <v>0</v>
      </c>
      <c r="AH921">
        <v>0</v>
      </c>
      <c r="AI921">
        <v>0</v>
      </c>
      <c r="AJ921">
        <v>0</v>
      </c>
      <c r="AK921">
        <v>2</v>
      </c>
      <c r="AL921" t="s">
        <v>451</v>
      </c>
      <c r="AM921" t="s">
        <v>214</v>
      </c>
      <c r="AN921" t="s">
        <v>452</v>
      </c>
      <c r="AO921" t="s">
        <v>8669</v>
      </c>
      <c r="AP921" t="s">
        <v>8670</v>
      </c>
      <c r="AQ921" t="s">
        <v>74</v>
      </c>
      <c r="AR921" t="s">
        <v>8671</v>
      </c>
      <c r="AS921" t="s">
        <v>8672</v>
      </c>
      <c r="AT921" t="s">
        <v>10788</v>
      </c>
      <c r="AU921">
        <v>1997</v>
      </c>
      <c r="AV921">
        <v>34</v>
      </c>
      <c r="AW921">
        <v>8</v>
      </c>
      <c r="AX921" t="s">
        <v>74</v>
      </c>
      <c r="AY921" t="s">
        <v>74</v>
      </c>
      <c r="AZ921" t="s">
        <v>74</v>
      </c>
      <c r="BA921" t="s">
        <v>74</v>
      </c>
      <c r="BB921">
        <v>597</v>
      </c>
      <c r="BC921">
        <v>597</v>
      </c>
      <c r="BD921" t="s">
        <v>74</v>
      </c>
      <c r="BE921" t="s">
        <v>11104</v>
      </c>
      <c r="BF921" t="str">
        <f>HYPERLINK("http://dx.doi.org/10.1016/S0025-326X(97)90083-7","http://dx.doi.org/10.1016/S0025-326X(97)90083-7")</f>
        <v>http://dx.doi.org/10.1016/S0025-326X(97)90083-7</v>
      </c>
      <c r="BG921" t="s">
        <v>74</v>
      </c>
      <c r="BH921" t="s">
        <v>74</v>
      </c>
      <c r="BI921">
        <v>1</v>
      </c>
      <c r="BJ921" t="s">
        <v>8674</v>
      </c>
      <c r="BK921" t="s">
        <v>98</v>
      </c>
      <c r="BL921" t="s">
        <v>7877</v>
      </c>
      <c r="BM921" t="s">
        <v>11105</v>
      </c>
      <c r="BN921" t="s">
        <v>74</v>
      </c>
      <c r="BO921" t="s">
        <v>74</v>
      </c>
      <c r="BP921" t="s">
        <v>74</v>
      </c>
      <c r="BQ921" t="s">
        <v>74</v>
      </c>
      <c r="BR921" t="s">
        <v>101</v>
      </c>
      <c r="BS921" t="s">
        <v>11106</v>
      </c>
      <c r="BT921" t="str">
        <f>HYPERLINK("https%3A%2F%2Fwww.webofscience.com%2Fwos%2Fwoscc%2Ffull-record%2FWOS:A1997YD11100009","View Full Record in Web of Science")</f>
        <v>View Full Record in Web of Science</v>
      </c>
    </row>
    <row r="922" spans="1:72" x14ac:dyDescent="0.15">
      <c r="A922" t="s">
        <v>72</v>
      </c>
      <c r="B922" t="s">
        <v>11107</v>
      </c>
      <c r="C922" t="s">
        <v>74</v>
      </c>
      <c r="D922" t="s">
        <v>74</v>
      </c>
      <c r="E922" t="s">
        <v>74</v>
      </c>
      <c r="F922" t="s">
        <v>11107</v>
      </c>
      <c r="G922" t="s">
        <v>74</v>
      </c>
      <c r="H922" t="s">
        <v>74</v>
      </c>
      <c r="I922" t="s">
        <v>11108</v>
      </c>
      <c r="J922" t="s">
        <v>11109</v>
      </c>
      <c r="K922" t="s">
        <v>74</v>
      </c>
      <c r="L922" t="s">
        <v>74</v>
      </c>
      <c r="M922" t="s">
        <v>77</v>
      </c>
      <c r="N922" t="s">
        <v>78</v>
      </c>
      <c r="O922" t="s">
        <v>74</v>
      </c>
      <c r="P922" t="s">
        <v>74</v>
      </c>
      <c r="Q922" t="s">
        <v>74</v>
      </c>
      <c r="R922" t="s">
        <v>74</v>
      </c>
      <c r="S922" t="s">
        <v>74</v>
      </c>
      <c r="T922" t="s">
        <v>11110</v>
      </c>
      <c r="U922" t="s">
        <v>11111</v>
      </c>
      <c r="V922" t="s">
        <v>11112</v>
      </c>
      <c r="W922" t="s">
        <v>11113</v>
      </c>
      <c r="X922" t="s">
        <v>11114</v>
      </c>
      <c r="Y922" t="s">
        <v>11115</v>
      </c>
      <c r="Z922" t="s">
        <v>74</v>
      </c>
      <c r="AA922" t="s">
        <v>74</v>
      </c>
      <c r="AB922" t="s">
        <v>11116</v>
      </c>
      <c r="AC922" t="s">
        <v>74</v>
      </c>
      <c r="AD922" t="s">
        <v>74</v>
      </c>
      <c r="AE922" t="s">
        <v>74</v>
      </c>
      <c r="AF922" t="s">
        <v>74</v>
      </c>
      <c r="AG922">
        <v>56</v>
      </c>
      <c r="AH922">
        <v>14</v>
      </c>
      <c r="AI922">
        <v>16</v>
      </c>
      <c r="AJ922">
        <v>0</v>
      </c>
      <c r="AK922">
        <v>3</v>
      </c>
      <c r="AL922" t="s">
        <v>11117</v>
      </c>
      <c r="AM922" t="s">
        <v>201</v>
      </c>
      <c r="AN922" t="s">
        <v>11118</v>
      </c>
      <c r="AO922" t="s">
        <v>11119</v>
      </c>
      <c r="AP922" t="s">
        <v>74</v>
      </c>
      <c r="AQ922" t="s">
        <v>74</v>
      </c>
      <c r="AR922" t="s">
        <v>11120</v>
      </c>
      <c r="AS922" t="s">
        <v>11121</v>
      </c>
      <c r="AT922" t="s">
        <v>10788</v>
      </c>
      <c r="AU922">
        <v>1997</v>
      </c>
      <c r="AV922">
        <v>61</v>
      </c>
      <c r="AW922">
        <v>4</v>
      </c>
      <c r="AX922" t="s">
        <v>74</v>
      </c>
      <c r="AY922" t="s">
        <v>74</v>
      </c>
      <c r="AZ922" t="s">
        <v>74</v>
      </c>
      <c r="BA922" t="s">
        <v>74</v>
      </c>
      <c r="BB922">
        <v>557</v>
      </c>
      <c r="BC922">
        <v>572</v>
      </c>
      <c r="BD922" t="s">
        <v>74</v>
      </c>
      <c r="BE922" t="s">
        <v>11122</v>
      </c>
      <c r="BF922" t="str">
        <f>HYPERLINK("http://dx.doi.org/10.1180/minmag.1997.061.407.08","http://dx.doi.org/10.1180/minmag.1997.061.407.08")</f>
        <v>http://dx.doi.org/10.1180/minmag.1997.061.407.08</v>
      </c>
      <c r="BG922" t="s">
        <v>74</v>
      </c>
      <c r="BH922" t="s">
        <v>74</v>
      </c>
      <c r="BI922">
        <v>16</v>
      </c>
      <c r="BJ922" t="s">
        <v>6284</v>
      </c>
      <c r="BK922" t="s">
        <v>98</v>
      </c>
      <c r="BL922" t="s">
        <v>6284</v>
      </c>
      <c r="BM922" t="s">
        <v>11123</v>
      </c>
      <c r="BN922" t="s">
        <v>74</v>
      </c>
      <c r="BO922" t="s">
        <v>74</v>
      </c>
      <c r="BP922" t="s">
        <v>74</v>
      </c>
      <c r="BQ922" t="s">
        <v>74</v>
      </c>
      <c r="BR922" t="s">
        <v>101</v>
      </c>
      <c r="BS922" t="s">
        <v>11124</v>
      </c>
      <c r="BT922" t="str">
        <f>HYPERLINK("https%3A%2F%2Fwww.webofscience.com%2Fwos%2Fwoscc%2Ffull-record%2FWOS:A1997XV89400008","View Full Record in Web of Science")</f>
        <v>View Full Record in Web of Science</v>
      </c>
    </row>
    <row r="923" spans="1:72" x14ac:dyDescent="0.15">
      <c r="A923" t="s">
        <v>72</v>
      </c>
      <c r="B923" t="s">
        <v>11125</v>
      </c>
      <c r="C923" t="s">
        <v>74</v>
      </c>
      <c r="D923" t="s">
        <v>74</v>
      </c>
      <c r="E923" t="s">
        <v>74</v>
      </c>
      <c r="F923" t="s">
        <v>11125</v>
      </c>
      <c r="G923" t="s">
        <v>74</v>
      </c>
      <c r="H923" t="s">
        <v>74</v>
      </c>
      <c r="I923" t="s">
        <v>11126</v>
      </c>
      <c r="J923" t="s">
        <v>11127</v>
      </c>
      <c r="K923" t="s">
        <v>74</v>
      </c>
      <c r="L923" t="s">
        <v>74</v>
      </c>
      <c r="M923" t="s">
        <v>77</v>
      </c>
      <c r="N923" t="s">
        <v>78</v>
      </c>
      <c r="O923" t="s">
        <v>74</v>
      </c>
      <c r="P923" t="s">
        <v>74</v>
      </c>
      <c r="Q923" t="s">
        <v>74</v>
      </c>
      <c r="R923" t="s">
        <v>74</v>
      </c>
      <c r="S923" t="s">
        <v>74</v>
      </c>
      <c r="T923" t="s">
        <v>74</v>
      </c>
      <c r="U923" t="s">
        <v>11128</v>
      </c>
      <c r="V923" t="s">
        <v>11129</v>
      </c>
      <c r="W923" t="s">
        <v>11130</v>
      </c>
      <c r="X923" t="s">
        <v>11131</v>
      </c>
      <c r="Y923" t="s">
        <v>11132</v>
      </c>
      <c r="Z923" t="s">
        <v>74</v>
      </c>
      <c r="AA923" t="s">
        <v>74</v>
      </c>
      <c r="AB923" t="s">
        <v>74</v>
      </c>
      <c r="AC923" t="s">
        <v>74</v>
      </c>
      <c r="AD923" t="s">
        <v>74</v>
      </c>
      <c r="AE923" t="s">
        <v>74</v>
      </c>
      <c r="AF923" t="s">
        <v>74</v>
      </c>
      <c r="AG923">
        <v>15</v>
      </c>
      <c r="AH923">
        <v>10</v>
      </c>
      <c r="AI923">
        <v>11</v>
      </c>
      <c r="AJ923">
        <v>0</v>
      </c>
      <c r="AK923">
        <v>11</v>
      </c>
      <c r="AL923" t="s">
        <v>11127</v>
      </c>
      <c r="AM923" t="s">
        <v>11133</v>
      </c>
      <c r="AN923" t="s">
        <v>11134</v>
      </c>
      <c r="AO923" t="s">
        <v>11135</v>
      </c>
      <c r="AP923" t="s">
        <v>74</v>
      </c>
      <c r="AQ923" t="s">
        <v>74</v>
      </c>
      <c r="AR923" t="s">
        <v>11136</v>
      </c>
      <c r="AS923" t="s">
        <v>11137</v>
      </c>
      <c r="AT923" t="s">
        <v>10788</v>
      </c>
      <c r="AU923">
        <v>1997</v>
      </c>
      <c r="AV923">
        <v>12</v>
      </c>
      <c r="AW923" t="s">
        <v>74</v>
      </c>
      <c r="AX923" t="s">
        <v>74</v>
      </c>
      <c r="AY923" t="s">
        <v>74</v>
      </c>
      <c r="AZ923" t="s">
        <v>74</v>
      </c>
      <c r="BA923" t="s">
        <v>74</v>
      </c>
      <c r="BB923">
        <v>189</v>
      </c>
      <c r="BC923">
        <v>194</v>
      </c>
      <c r="BD923" t="s">
        <v>74</v>
      </c>
      <c r="BE923" t="s">
        <v>74</v>
      </c>
      <c r="BF923" t="s">
        <v>74</v>
      </c>
      <c r="BG923" t="s">
        <v>74</v>
      </c>
      <c r="BH923" t="s">
        <v>74</v>
      </c>
      <c r="BI923">
        <v>6</v>
      </c>
      <c r="BJ923" t="s">
        <v>11138</v>
      </c>
      <c r="BK923" t="s">
        <v>98</v>
      </c>
      <c r="BL923" t="s">
        <v>11138</v>
      </c>
      <c r="BM923" t="s">
        <v>11139</v>
      </c>
      <c r="BN923" t="s">
        <v>74</v>
      </c>
      <c r="BO923" t="s">
        <v>74</v>
      </c>
      <c r="BP923" t="s">
        <v>74</v>
      </c>
      <c r="BQ923" t="s">
        <v>74</v>
      </c>
      <c r="BR923" t="s">
        <v>101</v>
      </c>
      <c r="BS923" t="s">
        <v>11140</v>
      </c>
      <c r="BT923" t="str">
        <f>HYPERLINK("https%3A%2F%2Fwww.webofscience.com%2Fwos%2Fwoscc%2Ffull-record%2FWOS:A1997XQ60100009","View Full Record in Web of Science")</f>
        <v>View Full Record in Web of Science</v>
      </c>
    </row>
    <row r="924" spans="1:72" x14ac:dyDescent="0.15">
      <c r="A924" t="s">
        <v>72</v>
      </c>
      <c r="B924" t="s">
        <v>11141</v>
      </c>
      <c r="C924" t="s">
        <v>74</v>
      </c>
      <c r="D924" t="s">
        <v>74</v>
      </c>
      <c r="E924" t="s">
        <v>74</v>
      </c>
      <c r="F924" t="s">
        <v>11141</v>
      </c>
      <c r="G924" t="s">
        <v>74</v>
      </c>
      <c r="H924" t="s">
        <v>74</v>
      </c>
      <c r="I924" t="s">
        <v>11142</v>
      </c>
      <c r="J924" t="s">
        <v>11143</v>
      </c>
      <c r="K924" t="s">
        <v>74</v>
      </c>
      <c r="L924" t="s">
        <v>74</v>
      </c>
      <c r="M924" t="s">
        <v>77</v>
      </c>
      <c r="N924" t="s">
        <v>78</v>
      </c>
      <c r="O924" t="s">
        <v>74</v>
      </c>
      <c r="P924" t="s">
        <v>74</v>
      </c>
      <c r="Q924" t="s">
        <v>74</v>
      </c>
      <c r="R924" t="s">
        <v>74</v>
      </c>
      <c r="S924" t="s">
        <v>74</v>
      </c>
      <c r="T924" t="s">
        <v>74</v>
      </c>
      <c r="U924" t="s">
        <v>3485</v>
      </c>
      <c r="V924" t="s">
        <v>11144</v>
      </c>
      <c r="W924" t="s">
        <v>74</v>
      </c>
      <c r="X924" t="s">
        <v>74</v>
      </c>
      <c r="Y924" t="s">
        <v>11145</v>
      </c>
      <c r="Z924" t="s">
        <v>74</v>
      </c>
      <c r="AA924" t="s">
        <v>11146</v>
      </c>
      <c r="AB924" t="s">
        <v>11147</v>
      </c>
      <c r="AC924" t="s">
        <v>74</v>
      </c>
      <c r="AD924" t="s">
        <v>74</v>
      </c>
      <c r="AE924" t="s">
        <v>74</v>
      </c>
      <c r="AF924" t="s">
        <v>74</v>
      </c>
      <c r="AG924">
        <v>26</v>
      </c>
      <c r="AH924">
        <v>10</v>
      </c>
      <c r="AI924">
        <v>10</v>
      </c>
      <c r="AJ924">
        <v>0</v>
      </c>
      <c r="AK924">
        <v>2</v>
      </c>
      <c r="AL924" t="s">
        <v>11148</v>
      </c>
      <c r="AM924" t="s">
        <v>11149</v>
      </c>
      <c r="AN924" t="s">
        <v>11150</v>
      </c>
      <c r="AO924" t="s">
        <v>11151</v>
      </c>
      <c r="AP924" t="s">
        <v>74</v>
      </c>
      <c r="AQ924" t="s">
        <v>74</v>
      </c>
      <c r="AR924" t="s">
        <v>11143</v>
      </c>
      <c r="AS924" t="s">
        <v>11152</v>
      </c>
      <c r="AT924" t="s">
        <v>10788</v>
      </c>
      <c r="AU924">
        <v>1997</v>
      </c>
      <c r="AV924">
        <v>46</v>
      </c>
      <c r="AW924">
        <v>3</v>
      </c>
      <c r="AX924" t="s">
        <v>74</v>
      </c>
      <c r="AY924" t="s">
        <v>74</v>
      </c>
      <c r="AZ924" t="s">
        <v>74</v>
      </c>
      <c r="BA924" t="s">
        <v>74</v>
      </c>
      <c r="BB924">
        <v>175</v>
      </c>
      <c r="BC924">
        <v>185</v>
      </c>
      <c r="BD924" t="s">
        <v>74</v>
      </c>
      <c r="BE924" t="s">
        <v>11153</v>
      </c>
      <c r="BF924" t="str">
        <f>HYPERLINK("http://dx.doi.org/10.1080/00785326.1997.10432877","http://dx.doi.org/10.1080/00785326.1997.10432877")</f>
        <v>http://dx.doi.org/10.1080/00785326.1997.10432877</v>
      </c>
      <c r="BG924" t="s">
        <v>74</v>
      </c>
      <c r="BH924" t="s">
        <v>74</v>
      </c>
      <c r="BI924">
        <v>11</v>
      </c>
      <c r="BJ924" t="s">
        <v>1802</v>
      </c>
      <c r="BK924" t="s">
        <v>98</v>
      </c>
      <c r="BL924" t="s">
        <v>1802</v>
      </c>
      <c r="BM924" t="s">
        <v>11154</v>
      </c>
      <c r="BN924" t="s">
        <v>74</v>
      </c>
      <c r="BO924" t="s">
        <v>74</v>
      </c>
      <c r="BP924" t="s">
        <v>74</v>
      </c>
      <c r="BQ924" t="s">
        <v>74</v>
      </c>
      <c r="BR924" t="s">
        <v>101</v>
      </c>
      <c r="BS924" t="s">
        <v>11155</v>
      </c>
      <c r="BT924" t="str">
        <f>HYPERLINK("https%3A%2F%2Fwww.webofscience.com%2Fwos%2Fwoscc%2Ffull-record%2FWOS:A1997XV14200001","View Full Record in Web of Science")</f>
        <v>View Full Record in Web of Science</v>
      </c>
    </row>
    <row r="925" spans="1:72" x14ac:dyDescent="0.15">
      <c r="A925" t="s">
        <v>72</v>
      </c>
      <c r="B925" t="s">
        <v>11156</v>
      </c>
      <c r="C925" t="s">
        <v>74</v>
      </c>
      <c r="D925" t="s">
        <v>74</v>
      </c>
      <c r="E925" t="s">
        <v>74</v>
      </c>
      <c r="F925" t="s">
        <v>11156</v>
      </c>
      <c r="G925" t="s">
        <v>74</v>
      </c>
      <c r="H925" t="s">
        <v>74</v>
      </c>
      <c r="I925" t="s">
        <v>11157</v>
      </c>
      <c r="J925" t="s">
        <v>6957</v>
      </c>
      <c r="K925" t="s">
        <v>74</v>
      </c>
      <c r="L925" t="s">
        <v>74</v>
      </c>
      <c r="M925" t="s">
        <v>77</v>
      </c>
      <c r="N925" t="s">
        <v>379</v>
      </c>
      <c r="O925" t="s">
        <v>11158</v>
      </c>
      <c r="P925">
        <v>1994</v>
      </c>
      <c r="Q925" t="s">
        <v>11159</v>
      </c>
      <c r="R925" t="s">
        <v>74</v>
      </c>
      <c r="S925" t="s">
        <v>74</v>
      </c>
      <c r="T925" t="s">
        <v>11160</v>
      </c>
      <c r="U925" t="s">
        <v>11161</v>
      </c>
      <c r="V925" t="s">
        <v>11162</v>
      </c>
      <c r="W925" t="s">
        <v>11163</v>
      </c>
      <c r="X925" t="s">
        <v>11164</v>
      </c>
      <c r="Y925" t="s">
        <v>11165</v>
      </c>
      <c r="Z925" t="s">
        <v>74</v>
      </c>
      <c r="AA925" t="s">
        <v>11166</v>
      </c>
      <c r="AB925" t="s">
        <v>11167</v>
      </c>
      <c r="AC925" t="s">
        <v>74</v>
      </c>
      <c r="AD925" t="s">
        <v>74</v>
      </c>
      <c r="AE925" t="s">
        <v>74</v>
      </c>
      <c r="AF925" t="s">
        <v>74</v>
      </c>
      <c r="AG925">
        <v>92</v>
      </c>
      <c r="AH925">
        <v>63</v>
      </c>
      <c r="AI925">
        <v>77</v>
      </c>
      <c r="AJ925">
        <v>0</v>
      </c>
      <c r="AK925">
        <v>19</v>
      </c>
      <c r="AL925" t="s">
        <v>1029</v>
      </c>
      <c r="AM925" t="s">
        <v>1030</v>
      </c>
      <c r="AN925" t="s">
        <v>1031</v>
      </c>
      <c r="AO925" t="s">
        <v>6964</v>
      </c>
      <c r="AP925" t="s">
        <v>74</v>
      </c>
      <c r="AQ925" t="s">
        <v>74</v>
      </c>
      <c r="AR925" t="s">
        <v>6965</v>
      </c>
      <c r="AS925" t="s">
        <v>6966</v>
      </c>
      <c r="AT925" t="s">
        <v>10788</v>
      </c>
      <c r="AU925">
        <v>1997</v>
      </c>
      <c r="AV925">
        <v>132</v>
      </c>
      <c r="AW925" t="s">
        <v>4183</v>
      </c>
      <c r="AX925" t="s">
        <v>74</v>
      </c>
      <c r="AY925" t="s">
        <v>74</v>
      </c>
      <c r="AZ925" t="s">
        <v>74</v>
      </c>
      <c r="BA925" t="s">
        <v>74</v>
      </c>
      <c r="BB925">
        <v>119</v>
      </c>
      <c r="BC925">
        <v>132</v>
      </c>
      <c r="BD925" t="s">
        <v>74</v>
      </c>
      <c r="BE925" t="s">
        <v>11168</v>
      </c>
      <c r="BF925" t="str">
        <f>HYPERLINK("http://dx.doi.org/10.1016/S0031-0182(97)00061-8","http://dx.doi.org/10.1016/S0031-0182(97)00061-8")</f>
        <v>http://dx.doi.org/10.1016/S0031-0182(97)00061-8</v>
      </c>
      <c r="BG925" t="s">
        <v>74</v>
      </c>
      <c r="BH925" t="s">
        <v>74</v>
      </c>
      <c r="BI925">
        <v>14</v>
      </c>
      <c r="BJ925" t="s">
        <v>6968</v>
      </c>
      <c r="BK925" t="s">
        <v>397</v>
      </c>
      <c r="BL925" t="s">
        <v>6969</v>
      </c>
      <c r="BM925" t="s">
        <v>11169</v>
      </c>
      <c r="BN925" t="s">
        <v>74</v>
      </c>
      <c r="BO925" t="s">
        <v>74</v>
      </c>
      <c r="BP925" t="s">
        <v>74</v>
      </c>
      <c r="BQ925" t="s">
        <v>74</v>
      </c>
      <c r="BR925" t="s">
        <v>101</v>
      </c>
      <c r="BS925" t="s">
        <v>11170</v>
      </c>
      <c r="BT925" t="str">
        <f>HYPERLINK("https%3A%2F%2Fwww.webofscience.com%2Fwos%2Fwoscc%2Ffull-record%2FWOS:A1997XY80500008","View Full Record in Web of Science")</f>
        <v>View Full Record in Web of Science</v>
      </c>
    </row>
    <row r="926" spans="1:72" x14ac:dyDescent="0.15">
      <c r="A926" t="s">
        <v>72</v>
      </c>
      <c r="B926" t="s">
        <v>11171</v>
      </c>
      <c r="C926" t="s">
        <v>74</v>
      </c>
      <c r="D926" t="s">
        <v>74</v>
      </c>
      <c r="E926" t="s">
        <v>74</v>
      </c>
      <c r="F926" t="s">
        <v>11171</v>
      </c>
      <c r="G926" t="s">
        <v>74</v>
      </c>
      <c r="H926" t="s">
        <v>74</v>
      </c>
      <c r="I926" t="s">
        <v>11172</v>
      </c>
      <c r="J926" t="s">
        <v>11173</v>
      </c>
      <c r="K926" t="s">
        <v>74</v>
      </c>
      <c r="L926" t="s">
        <v>74</v>
      </c>
      <c r="M926" t="s">
        <v>77</v>
      </c>
      <c r="N926" t="s">
        <v>78</v>
      </c>
      <c r="O926" t="s">
        <v>74</v>
      </c>
      <c r="P926" t="s">
        <v>74</v>
      </c>
      <c r="Q926" t="s">
        <v>74</v>
      </c>
      <c r="R926" t="s">
        <v>74</v>
      </c>
      <c r="S926" t="s">
        <v>74</v>
      </c>
      <c r="T926" t="s">
        <v>74</v>
      </c>
      <c r="U926" t="s">
        <v>11174</v>
      </c>
      <c r="V926" t="s">
        <v>11175</v>
      </c>
      <c r="W926" t="s">
        <v>11176</v>
      </c>
      <c r="X926" t="s">
        <v>3787</v>
      </c>
      <c r="Y926" t="s">
        <v>74</v>
      </c>
      <c r="Z926" t="s">
        <v>74</v>
      </c>
      <c r="AA926" t="s">
        <v>11177</v>
      </c>
      <c r="AB926" t="s">
        <v>11178</v>
      </c>
      <c r="AC926" t="s">
        <v>74</v>
      </c>
      <c r="AD926" t="s">
        <v>74</v>
      </c>
      <c r="AE926" t="s">
        <v>74</v>
      </c>
      <c r="AF926" t="s">
        <v>74</v>
      </c>
      <c r="AG926">
        <v>78</v>
      </c>
      <c r="AH926">
        <v>81</v>
      </c>
      <c r="AI926">
        <v>93</v>
      </c>
      <c r="AJ926">
        <v>0</v>
      </c>
      <c r="AK926">
        <v>9</v>
      </c>
      <c r="AL926" t="s">
        <v>8591</v>
      </c>
      <c r="AM926" t="s">
        <v>8592</v>
      </c>
      <c r="AN926" t="s">
        <v>11179</v>
      </c>
      <c r="AO926" t="s">
        <v>11180</v>
      </c>
      <c r="AP926" t="s">
        <v>11181</v>
      </c>
      <c r="AQ926" t="s">
        <v>74</v>
      </c>
      <c r="AR926" t="s">
        <v>11173</v>
      </c>
      <c r="AS926" t="s">
        <v>11182</v>
      </c>
      <c r="AT926" t="s">
        <v>10788</v>
      </c>
      <c r="AU926">
        <v>1997</v>
      </c>
      <c r="AV926">
        <v>12</v>
      </c>
      <c r="AW926">
        <v>4</v>
      </c>
      <c r="AX926" t="s">
        <v>74</v>
      </c>
      <c r="AY926" t="s">
        <v>74</v>
      </c>
      <c r="AZ926" t="s">
        <v>74</v>
      </c>
      <c r="BA926" t="s">
        <v>74</v>
      </c>
      <c r="BB926">
        <v>302</v>
      </c>
      <c r="BC926">
        <v>318</v>
      </c>
      <c r="BD926" t="s">
        <v>74</v>
      </c>
      <c r="BE926" t="s">
        <v>11183</v>
      </c>
      <c r="BF926" t="str">
        <f>HYPERLINK("http://dx.doi.org/10.2307/3515333","http://dx.doi.org/10.2307/3515333")</f>
        <v>http://dx.doi.org/10.2307/3515333</v>
      </c>
      <c r="BG926" t="s">
        <v>74</v>
      </c>
      <c r="BH926" t="s">
        <v>74</v>
      </c>
      <c r="BI926">
        <v>17</v>
      </c>
      <c r="BJ926" t="s">
        <v>1475</v>
      </c>
      <c r="BK926" t="s">
        <v>98</v>
      </c>
      <c r="BL926" t="s">
        <v>1475</v>
      </c>
      <c r="BM926" t="s">
        <v>11184</v>
      </c>
      <c r="BN926" t="s">
        <v>74</v>
      </c>
      <c r="BO926" t="s">
        <v>74</v>
      </c>
      <c r="BP926" t="s">
        <v>74</v>
      </c>
      <c r="BQ926" t="s">
        <v>74</v>
      </c>
      <c r="BR926" t="s">
        <v>101</v>
      </c>
      <c r="BS926" t="s">
        <v>11185</v>
      </c>
      <c r="BT926" t="str">
        <f>HYPERLINK("https%3A%2F%2Fwww.webofscience.com%2Fwos%2Fwoscc%2Ffull-record%2FWOS:A1997XQ37000002","View Full Record in Web of Science")</f>
        <v>View Full Record in Web of Science</v>
      </c>
    </row>
    <row r="927" spans="1:72" x14ac:dyDescent="0.15">
      <c r="A927" t="s">
        <v>72</v>
      </c>
      <c r="B927" t="s">
        <v>11186</v>
      </c>
      <c r="C927" t="s">
        <v>74</v>
      </c>
      <c r="D927" t="s">
        <v>74</v>
      </c>
      <c r="E927" t="s">
        <v>74</v>
      </c>
      <c r="F927" t="s">
        <v>11186</v>
      </c>
      <c r="G927" t="s">
        <v>74</v>
      </c>
      <c r="H927" t="s">
        <v>74</v>
      </c>
      <c r="I927" t="s">
        <v>11187</v>
      </c>
      <c r="J927" t="s">
        <v>1833</v>
      </c>
      <c r="K927" t="s">
        <v>74</v>
      </c>
      <c r="L927" t="s">
        <v>74</v>
      </c>
      <c r="M927" t="s">
        <v>77</v>
      </c>
      <c r="N927" t="s">
        <v>78</v>
      </c>
      <c r="O927" t="s">
        <v>74</v>
      </c>
      <c r="P927" t="s">
        <v>74</v>
      </c>
      <c r="Q927" t="s">
        <v>74</v>
      </c>
      <c r="R927" t="s">
        <v>74</v>
      </c>
      <c r="S927" t="s">
        <v>74</v>
      </c>
      <c r="T927" t="s">
        <v>74</v>
      </c>
      <c r="U927" t="s">
        <v>11188</v>
      </c>
      <c r="V927" t="s">
        <v>11189</v>
      </c>
      <c r="W927" t="s">
        <v>11190</v>
      </c>
      <c r="X927" t="s">
        <v>1112</v>
      </c>
      <c r="Y927" t="s">
        <v>11191</v>
      </c>
      <c r="Z927" t="s">
        <v>74</v>
      </c>
      <c r="AA927" t="s">
        <v>74</v>
      </c>
      <c r="AB927" t="s">
        <v>74</v>
      </c>
      <c r="AC927" t="s">
        <v>74</v>
      </c>
      <c r="AD927" t="s">
        <v>74</v>
      </c>
      <c r="AE927" t="s">
        <v>74</v>
      </c>
      <c r="AF927" t="s">
        <v>74</v>
      </c>
      <c r="AG927">
        <v>35</v>
      </c>
      <c r="AH927">
        <v>88</v>
      </c>
      <c r="AI927">
        <v>97</v>
      </c>
      <c r="AJ927">
        <v>1</v>
      </c>
      <c r="AK927">
        <v>19</v>
      </c>
      <c r="AL927" t="s">
        <v>87</v>
      </c>
      <c r="AM927" t="s">
        <v>88</v>
      </c>
      <c r="AN927" t="s">
        <v>89</v>
      </c>
      <c r="AO927" t="s">
        <v>1841</v>
      </c>
      <c r="AP927" t="s">
        <v>74</v>
      </c>
      <c r="AQ927" t="s">
        <v>74</v>
      </c>
      <c r="AR927" t="s">
        <v>1833</v>
      </c>
      <c r="AS927" t="s">
        <v>1842</v>
      </c>
      <c r="AT927" t="s">
        <v>10788</v>
      </c>
      <c r="AU927">
        <v>1997</v>
      </c>
      <c r="AV927">
        <v>12</v>
      </c>
      <c r="AW927">
        <v>4</v>
      </c>
      <c r="AX927" t="s">
        <v>74</v>
      </c>
      <c r="AY927" t="s">
        <v>74</v>
      </c>
      <c r="AZ927" t="s">
        <v>74</v>
      </c>
      <c r="BA927" t="s">
        <v>74</v>
      </c>
      <c r="BB927">
        <v>560</v>
      </c>
      <c r="BC927">
        <v>567</v>
      </c>
      <c r="BD927" t="s">
        <v>74</v>
      </c>
      <c r="BE927" t="s">
        <v>11192</v>
      </c>
      <c r="BF927" t="str">
        <f>HYPERLINK("http://dx.doi.org/10.1029/97PA01032","http://dx.doi.org/10.1029/97PA01032")</f>
        <v>http://dx.doi.org/10.1029/97PA01032</v>
      </c>
      <c r="BG927" t="s">
        <v>74</v>
      </c>
      <c r="BH927" t="s">
        <v>74</v>
      </c>
      <c r="BI927">
        <v>8</v>
      </c>
      <c r="BJ927" t="s">
        <v>1844</v>
      </c>
      <c r="BK927" t="s">
        <v>98</v>
      </c>
      <c r="BL927" t="s">
        <v>1845</v>
      </c>
      <c r="BM927" t="s">
        <v>11193</v>
      </c>
      <c r="BN927" t="s">
        <v>74</v>
      </c>
      <c r="BO927" t="s">
        <v>74</v>
      </c>
      <c r="BP927" t="s">
        <v>74</v>
      </c>
      <c r="BQ927" t="s">
        <v>74</v>
      </c>
      <c r="BR927" t="s">
        <v>101</v>
      </c>
      <c r="BS927" t="s">
        <v>11194</v>
      </c>
      <c r="BT927" t="str">
        <f>HYPERLINK("https%3A%2F%2Fwww.webofscience.com%2Fwos%2Fwoscc%2Ffull-record%2FWOS:A1997XP46200005","View Full Record in Web of Science")</f>
        <v>View Full Record in Web of Science</v>
      </c>
    </row>
    <row r="928" spans="1:72" x14ac:dyDescent="0.15">
      <c r="A928" t="s">
        <v>72</v>
      </c>
      <c r="B928" t="s">
        <v>11195</v>
      </c>
      <c r="C928" t="s">
        <v>74</v>
      </c>
      <c r="D928" t="s">
        <v>74</v>
      </c>
      <c r="E928" t="s">
        <v>74</v>
      </c>
      <c r="F928" t="s">
        <v>11195</v>
      </c>
      <c r="G928" t="s">
        <v>74</v>
      </c>
      <c r="H928" t="s">
        <v>74</v>
      </c>
      <c r="I928" t="s">
        <v>11196</v>
      </c>
      <c r="J928" t="s">
        <v>1833</v>
      </c>
      <c r="K928" t="s">
        <v>74</v>
      </c>
      <c r="L928" t="s">
        <v>74</v>
      </c>
      <c r="M928" t="s">
        <v>77</v>
      </c>
      <c r="N928" t="s">
        <v>78</v>
      </c>
      <c r="O928" t="s">
        <v>74</v>
      </c>
      <c r="P928" t="s">
        <v>74</v>
      </c>
      <c r="Q928" t="s">
        <v>74</v>
      </c>
      <c r="R928" t="s">
        <v>74</v>
      </c>
      <c r="S928" t="s">
        <v>74</v>
      </c>
      <c r="T928" t="s">
        <v>74</v>
      </c>
      <c r="U928" t="s">
        <v>11197</v>
      </c>
      <c r="V928" t="s">
        <v>11198</v>
      </c>
      <c r="W928" t="s">
        <v>11199</v>
      </c>
      <c r="X928" t="s">
        <v>11200</v>
      </c>
      <c r="Y928" t="s">
        <v>11201</v>
      </c>
      <c r="Z928" t="s">
        <v>74</v>
      </c>
      <c r="AA928" t="s">
        <v>11202</v>
      </c>
      <c r="AB928" t="s">
        <v>11203</v>
      </c>
      <c r="AC928" t="s">
        <v>74</v>
      </c>
      <c r="AD928" t="s">
        <v>74</v>
      </c>
      <c r="AE928" t="s">
        <v>74</v>
      </c>
      <c r="AF928" t="s">
        <v>74</v>
      </c>
      <c r="AG928">
        <v>70</v>
      </c>
      <c r="AH928">
        <v>113</v>
      </c>
      <c r="AI928">
        <v>126</v>
      </c>
      <c r="AJ928">
        <v>2</v>
      </c>
      <c r="AK928">
        <v>17</v>
      </c>
      <c r="AL928" t="s">
        <v>87</v>
      </c>
      <c r="AM928" t="s">
        <v>88</v>
      </c>
      <c r="AN928" t="s">
        <v>89</v>
      </c>
      <c r="AO928" t="s">
        <v>1841</v>
      </c>
      <c r="AP928" t="s">
        <v>74</v>
      </c>
      <c r="AQ928" t="s">
        <v>74</v>
      </c>
      <c r="AR928" t="s">
        <v>1833</v>
      </c>
      <c r="AS928" t="s">
        <v>1842</v>
      </c>
      <c r="AT928" t="s">
        <v>10788</v>
      </c>
      <c r="AU928">
        <v>1997</v>
      </c>
      <c r="AV928">
        <v>12</v>
      </c>
      <c r="AW928">
        <v>4</v>
      </c>
      <c r="AX928" t="s">
        <v>74</v>
      </c>
      <c r="AY928" t="s">
        <v>74</v>
      </c>
      <c r="AZ928" t="s">
        <v>74</v>
      </c>
      <c r="BA928" t="s">
        <v>74</v>
      </c>
      <c r="BB928">
        <v>594</v>
      </c>
      <c r="BC928">
        <v>603</v>
      </c>
      <c r="BD928" t="s">
        <v>74</v>
      </c>
      <c r="BE928" t="s">
        <v>11204</v>
      </c>
      <c r="BF928" t="str">
        <f>HYPERLINK("http://dx.doi.org/10.1029/97PA01130","http://dx.doi.org/10.1029/97PA01130")</f>
        <v>http://dx.doi.org/10.1029/97PA01130</v>
      </c>
      <c r="BG928" t="s">
        <v>74</v>
      </c>
      <c r="BH928" t="s">
        <v>74</v>
      </c>
      <c r="BI928">
        <v>10</v>
      </c>
      <c r="BJ928" t="s">
        <v>1844</v>
      </c>
      <c r="BK928" t="s">
        <v>98</v>
      </c>
      <c r="BL928" t="s">
        <v>1845</v>
      </c>
      <c r="BM928" t="s">
        <v>11193</v>
      </c>
      <c r="BN928" t="s">
        <v>74</v>
      </c>
      <c r="BO928" t="s">
        <v>1699</v>
      </c>
      <c r="BP928" t="s">
        <v>74</v>
      </c>
      <c r="BQ928" t="s">
        <v>74</v>
      </c>
      <c r="BR928" t="s">
        <v>101</v>
      </c>
      <c r="BS928" t="s">
        <v>11205</v>
      </c>
      <c r="BT928" t="str">
        <f>HYPERLINK("https%3A%2F%2Fwww.webofscience.com%2Fwos%2Fwoscc%2Ffull-record%2FWOS:A1997XP46200009","View Full Record in Web of Science")</f>
        <v>View Full Record in Web of Science</v>
      </c>
    </row>
    <row r="929" spans="1:72" x14ac:dyDescent="0.15">
      <c r="A929" t="s">
        <v>72</v>
      </c>
      <c r="B929" t="s">
        <v>11206</v>
      </c>
      <c r="C929" t="s">
        <v>74</v>
      </c>
      <c r="D929" t="s">
        <v>74</v>
      </c>
      <c r="E929" t="s">
        <v>74</v>
      </c>
      <c r="F929" t="s">
        <v>11206</v>
      </c>
      <c r="G929" t="s">
        <v>74</v>
      </c>
      <c r="H929" t="s">
        <v>74</v>
      </c>
      <c r="I929" t="s">
        <v>11207</v>
      </c>
      <c r="J929" t="s">
        <v>7762</v>
      </c>
      <c r="K929" t="s">
        <v>74</v>
      </c>
      <c r="L929" t="s">
        <v>74</v>
      </c>
      <c r="M929" t="s">
        <v>77</v>
      </c>
      <c r="N929" t="s">
        <v>78</v>
      </c>
      <c r="O929" t="s">
        <v>74</v>
      </c>
      <c r="P929" t="s">
        <v>74</v>
      </c>
      <c r="Q929" t="s">
        <v>74</v>
      </c>
      <c r="R929" t="s">
        <v>74</v>
      </c>
      <c r="S929" t="s">
        <v>74</v>
      </c>
      <c r="T929" t="s">
        <v>74</v>
      </c>
      <c r="U929" t="s">
        <v>11208</v>
      </c>
      <c r="V929" t="s">
        <v>11209</v>
      </c>
      <c r="W929" t="s">
        <v>74</v>
      </c>
      <c r="X929" t="s">
        <v>74</v>
      </c>
      <c r="Y929" t="s">
        <v>11210</v>
      </c>
      <c r="Z929" t="s">
        <v>74</v>
      </c>
      <c r="AA929" t="s">
        <v>11211</v>
      </c>
      <c r="AB929" t="s">
        <v>11212</v>
      </c>
      <c r="AC929" t="s">
        <v>74</v>
      </c>
      <c r="AD929" t="s">
        <v>74</v>
      </c>
      <c r="AE929" t="s">
        <v>74</v>
      </c>
      <c r="AF929" t="s">
        <v>74</v>
      </c>
      <c r="AG929">
        <v>29</v>
      </c>
      <c r="AH929">
        <v>13</v>
      </c>
      <c r="AI929">
        <v>14</v>
      </c>
      <c r="AJ929">
        <v>0</v>
      </c>
      <c r="AK929">
        <v>4</v>
      </c>
      <c r="AL929" t="s">
        <v>812</v>
      </c>
      <c r="AM929" t="s">
        <v>826</v>
      </c>
      <c r="AN929" t="s">
        <v>827</v>
      </c>
      <c r="AO929" t="s">
        <v>7770</v>
      </c>
      <c r="AP929" t="s">
        <v>74</v>
      </c>
      <c r="AQ929" t="s">
        <v>74</v>
      </c>
      <c r="AR929" t="s">
        <v>7771</v>
      </c>
      <c r="AS929" t="s">
        <v>7772</v>
      </c>
      <c r="AT929" t="s">
        <v>10788</v>
      </c>
      <c r="AU929">
        <v>1997</v>
      </c>
      <c r="AV929">
        <v>66</v>
      </c>
      <c r="AW929">
        <v>2</v>
      </c>
      <c r="AX929" t="s">
        <v>74</v>
      </c>
      <c r="AY929" t="s">
        <v>74</v>
      </c>
      <c r="AZ929" t="s">
        <v>74</v>
      </c>
      <c r="BA929" t="s">
        <v>74</v>
      </c>
      <c r="BB929">
        <v>185</v>
      </c>
      <c r="BC929">
        <v>189</v>
      </c>
      <c r="BD929" t="s">
        <v>74</v>
      </c>
      <c r="BE929" t="s">
        <v>11213</v>
      </c>
      <c r="BF929" t="str">
        <f>HYPERLINK("http://dx.doi.org/10.1111/j.1751-1097.1997.tb08641.x","http://dx.doi.org/10.1111/j.1751-1097.1997.tb08641.x")</f>
        <v>http://dx.doi.org/10.1111/j.1751-1097.1997.tb08641.x</v>
      </c>
      <c r="BG929" t="s">
        <v>74</v>
      </c>
      <c r="BH929" t="s">
        <v>74</v>
      </c>
      <c r="BI929">
        <v>5</v>
      </c>
      <c r="BJ929" t="s">
        <v>7774</v>
      </c>
      <c r="BK929" t="s">
        <v>98</v>
      </c>
      <c r="BL929" t="s">
        <v>7774</v>
      </c>
      <c r="BM929" t="s">
        <v>11214</v>
      </c>
      <c r="BN929" t="s">
        <v>74</v>
      </c>
      <c r="BO929" t="s">
        <v>100</v>
      </c>
      <c r="BP929" t="s">
        <v>74</v>
      </c>
      <c r="BQ929" t="s">
        <v>74</v>
      </c>
      <c r="BR929" t="s">
        <v>101</v>
      </c>
      <c r="BS929" t="s">
        <v>11215</v>
      </c>
      <c r="BT929" t="str">
        <f>HYPERLINK("https%3A%2F%2Fwww.webofscience.com%2Fwos%2Fwoscc%2Ffull-record%2FWOS:A1997XX48900011","View Full Record in Web of Science")</f>
        <v>View Full Record in Web of Science</v>
      </c>
    </row>
    <row r="930" spans="1:72" x14ac:dyDescent="0.15">
      <c r="A930" t="s">
        <v>72</v>
      </c>
      <c r="B930" t="s">
        <v>11216</v>
      </c>
      <c r="C930" t="s">
        <v>74</v>
      </c>
      <c r="D930" t="s">
        <v>74</v>
      </c>
      <c r="E930" t="s">
        <v>74</v>
      </c>
      <c r="F930" t="s">
        <v>11216</v>
      </c>
      <c r="G930" t="s">
        <v>74</v>
      </c>
      <c r="H930" t="s">
        <v>74</v>
      </c>
      <c r="I930" t="s">
        <v>11217</v>
      </c>
      <c r="J930" t="s">
        <v>888</v>
      </c>
      <c r="K930" t="s">
        <v>74</v>
      </c>
      <c r="L930" t="s">
        <v>74</v>
      </c>
      <c r="M930" t="s">
        <v>77</v>
      </c>
      <c r="N930" t="s">
        <v>78</v>
      </c>
      <c r="O930" t="s">
        <v>74</v>
      </c>
      <c r="P930" t="s">
        <v>74</v>
      </c>
      <c r="Q930" t="s">
        <v>74</v>
      </c>
      <c r="R930" t="s">
        <v>74</v>
      </c>
      <c r="S930" t="s">
        <v>74</v>
      </c>
      <c r="T930" t="s">
        <v>74</v>
      </c>
      <c r="U930" t="s">
        <v>11218</v>
      </c>
      <c r="V930" t="s">
        <v>11219</v>
      </c>
      <c r="W930" t="s">
        <v>11220</v>
      </c>
      <c r="X930" t="s">
        <v>2677</v>
      </c>
      <c r="Y930" t="s">
        <v>74</v>
      </c>
      <c r="Z930" t="s">
        <v>74</v>
      </c>
      <c r="AA930" t="s">
        <v>74</v>
      </c>
      <c r="AB930" t="s">
        <v>11221</v>
      </c>
      <c r="AC930" t="s">
        <v>74</v>
      </c>
      <c r="AD930" t="s">
        <v>74</v>
      </c>
      <c r="AE930" t="s">
        <v>74</v>
      </c>
      <c r="AF930" t="s">
        <v>74</v>
      </c>
      <c r="AG930">
        <v>98</v>
      </c>
      <c r="AH930">
        <v>62</v>
      </c>
      <c r="AI930">
        <v>71</v>
      </c>
      <c r="AJ930">
        <v>0</v>
      </c>
      <c r="AK930">
        <v>14</v>
      </c>
      <c r="AL930" t="s">
        <v>914</v>
      </c>
      <c r="AM930" t="s">
        <v>244</v>
      </c>
      <c r="AN930" t="s">
        <v>1400</v>
      </c>
      <c r="AO930" t="s">
        <v>899</v>
      </c>
      <c r="AP930" t="s">
        <v>916</v>
      </c>
      <c r="AQ930" t="s">
        <v>74</v>
      </c>
      <c r="AR930" t="s">
        <v>900</v>
      </c>
      <c r="AS930" t="s">
        <v>901</v>
      </c>
      <c r="AT930" t="s">
        <v>10788</v>
      </c>
      <c r="AU930">
        <v>1997</v>
      </c>
      <c r="AV930">
        <v>18</v>
      </c>
      <c r="AW930">
        <v>2</v>
      </c>
      <c r="AX930" t="s">
        <v>74</v>
      </c>
      <c r="AY930" t="s">
        <v>74</v>
      </c>
      <c r="AZ930" t="s">
        <v>74</v>
      </c>
      <c r="BA930" t="s">
        <v>74</v>
      </c>
      <c r="BB930">
        <v>91</v>
      </c>
      <c r="BC930">
        <v>106</v>
      </c>
      <c r="BD930" t="s">
        <v>74</v>
      </c>
      <c r="BE930" t="s">
        <v>11222</v>
      </c>
      <c r="BF930" t="str">
        <f>HYPERLINK("http://dx.doi.org/10.1007/s003000050163","http://dx.doi.org/10.1007/s003000050163")</f>
        <v>http://dx.doi.org/10.1007/s003000050163</v>
      </c>
      <c r="BG930" t="s">
        <v>74</v>
      </c>
      <c r="BH930" t="s">
        <v>74</v>
      </c>
      <c r="BI930">
        <v>16</v>
      </c>
      <c r="BJ930" t="s">
        <v>903</v>
      </c>
      <c r="BK930" t="s">
        <v>98</v>
      </c>
      <c r="BL930" t="s">
        <v>904</v>
      </c>
      <c r="BM930" t="s">
        <v>11223</v>
      </c>
      <c r="BN930" t="s">
        <v>74</v>
      </c>
      <c r="BO930" t="s">
        <v>74</v>
      </c>
      <c r="BP930" t="s">
        <v>74</v>
      </c>
      <c r="BQ930" t="s">
        <v>74</v>
      </c>
      <c r="BR930" t="s">
        <v>101</v>
      </c>
      <c r="BS930" t="s">
        <v>11224</v>
      </c>
      <c r="BT930" t="str">
        <f>HYPERLINK("https%3A%2F%2Fwww.webofscience.com%2Fwos%2Fwoscc%2Ffull-record%2FWOS:A1997XK96900002","View Full Record in Web of Science")</f>
        <v>View Full Record in Web of Science</v>
      </c>
    </row>
    <row r="931" spans="1:72" x14ac:dyDescent="0.15">
      <c r="A931" t="s">
        <v>72</v>
      </c>
      <c r="B931" t="s">
        <v>11225</v>
      </c>
      <c r="C931" t="s">
        <v>74</v>
      </c>
      <c r="D931" t="s">
        <v>74</v>
      </c>
      <c r="E931" t="s">
        <v>74</v>
      </c>
      <c r="F931" t="s">
        <v>11225</v>
      </c>
      <c r="G931" t="s">
        <v>74</v>
      </c>
      <c r="H931" t="s">
        <v>74</v>
      </c>
      <c r="I931" t="s">
        <v>11226</v>
      </c>
      <c r="J931" t="s">
        <v>888</v>
      </c>
      <c r="K931" t="s">
        <v>74</v>
      </c>
      <c r="L931" t="s">
        <v>74</v>
      </c>
      <c r="M931" t="s">
        <v>77</v>
      </c>
      <c r="N931" t="s">
        <v>78</v>
      </c>
      <c r="O931" t="s">
        <v>74</v>
      </c>
      <c r="P931" t="s">
        <v>74</v>
      </c>
      <c r="Q931" t="s">
        <v>74</v>
      </c>
      <c r="R931" t="s">
        <v>74</v>
      </c>
      <c r="S931" t="s">
        <v>74</v>
      </c>
      <c r="T931" t="s">
        <v>74</v>
      </c>
      <c r="U931" t="s">
        <v>11227</v>
      </c>
      <c r="V931" t="s">
        <v>11228</v>
      </c>
      <c r="W931" t="s">
        <v>74</v>
      </c>
      <c r="X931" t="s">
        <v>74</v>
      </c>
      <c r="Y931" t="s">
        <v>11229</v>
      </c>
      <c r="Z931" t="s">
        <v>74</v>
      </c>
      <c r="AA931" t="s">
        <v>11230</v>
      </c>
      <c r="AB931" t="s">
        <v>11231</v>
      </c>
      <c r="AC931" t="s">
        <v>74</v>
      </c>
      <c r="AD931" t="s">
        <v>74</v>
      </c>
      <c r="AE931" t="s">
        <v>74</v>
      </c>
      <c r="AF931" t="s">
        <v>74</v>
      </c>
      <c r="AG931">
        <v>26</v>
      </c>
      <c r="AH931">
        <v>28</v>
      </c>
      <c r="AI931">
        <v>28</v>
      </c>
      <c r="AJ931">
        <v>0</v>
      </c>
      <c r="AK931">
        <v>10</v>
      </c>
      <c r="AL931" t="s">
        <v>897</v>
      </c>
      <c r="AM931" t="s">
        <v>244</v>
      </c>
      <c r="AN931" t="s">
        <v>7783</v>
      </c>
      <c r="AO931" t="s">
        <v>899</v>
      </c>
      <c r="AP931" t="s">
        <v>74</v>
      </c>
      <c r="AQ931" t="s">
        <v>74</v>
      </c>
      <c r="AR931" t="s">
        <v>900</v>
      </c>
      <c r="AS931" t="s">
        <v>901</v>
      </c>
      <c r="AT931" t="s">
        <v>10788</v>
      </c>
      <c r="AU931">
        <v>1997</v>
      </c>
      <c r="AV931">
        <v>18</v>
      </c>
      <c r="AW931">
        <v>2</v>
      </c>
      <c r="AX931" t="s">
        <v>74</v>
      </c>
      <c r="AY931" t="s">
        <v>74</v>
      </c>
      <c r="AZ931" t="s">
        <v>74</v>
      </c>
      <c r="BA931" t="s">
        <v>74</v>
      </c>
      <c r="BB931">
        <v>112</v>
      </c>
      <c r="BC931">
        <v>115</v>
      </c>
      <c r="BD931" t="s">
        <v>74</v>
      </c>
      <c r="BE931" t="s">
        <v>11232</v>
      </c>
      <c r="BF931" t="str">
        <f>HYPERLINK("http://dx.doi.org/10.1007/s003000050165","http://dx.doi.org/10.1007/s003000050165")</f>
        <v>http://dx.doi.org/10.1007/s003000050165</v>
      </c>
      <c r="BG931" t="s">
        <v>74</v>
      </c>
      <c r="BH931" t="s">
        <v>74</v>
      </c>
      <c r="BI931">
        <v>4</v>
      </c>
      <c r="BJ931" t="s">
        <v>903</v>
      </c>
      <c r="BK931" t="s">
        <v>98</v>
      </c>
      <c r="BL931" t="s">
        <v>904</v>
      </c>
      <c r="BM931" t="s">
        <v>11223</v>
      </c>
      <c r="BN931" t="s">
        <v>74</v>
      </c>
      <c r="BO931" t="s">
        <v>74</v>
      </c>
      <c r="BP931" t="s">
        <v>74</v>
      </c>
      <c r="BQ931" t="s">
        <v>74</v>
      </c>
      <c r="BR931" t="s">
        <v>101</v>
      </c>
      <c r="BS931" t="s">
        <v>11233</v>
      </c>
      <c r="BT931" t="str">
        <f>HYPERLINK("https%3A%2F%2Fwww.webofscience.com%2Fwos%2Fwoscc%2Ffull-record%2FWOS:A1997XK96900004","View Full Record in Web of Science")</f>
        <v>View Full Record in Web of Science</v>
      </c>
    </row>
    <row r="932" spans="1:72" x14ac:dyDescent="0.15">
      <c r="A932" t="s">
        <v>72</v>
      </c>
      <c r="B932" t="s">
        <v>1858</v>
      </c>
      <c r="C932" t="s">
        <v>74</v>
      </c>
      <c r="D932" t="s">
        <v>74</v>
      </c>
      <c r="E932" t="s">
        <v>74</v>
      </c>
      <c r="F932" t="s">
        <v>1858</v>
      </c>
      <c r="G932" t="s">
        <v>74</v>
      </c>
      <c r="H932" t="s">
        <v>74</v>
      </c>
      <c r="I932" t="s">
        <v>11234</v>
      </c>
      <c r="J932" t="s">
        <v>888</v>
      </c>
      <c r="K932" t="s">
        <v>74</v>
      </c>
      <c r="L932" t="s">
        <v>74</v>
      </c>
      <c r="M932" t="s">
        <v>77</v>
      </c>
      <c r="N932" t="s">
        <v>78</v>
      </c>
      <c r="O932" t="s">
        <v>74</v>
      </c>
      <c r="P932" t="s">
        <v>74</v>
      </c>
      <c r="Q932" t="s">
        <v>74</v>
      </c>
      <c r="R932" t="s">
        <v>74</v>
      </c>
      <c r="S932" t="s">
        <v>74</v>
      </c>
      <c r="T932" t="s">
        <v>74</v>
      </c>
      <c r="U932" t="s">
        <v>11235</v>
      </c>
      <c r="V932" t="s">
        <v>11236</v>
      </c>
      <c r="W932" t="s">
        <v>9576</v>
      </c>
      <c r="X932" t="s">
        <v>672</v>
      </c>
      <c r="Y932" t="s">
        <v>74</v>
      </c>
      <c r="Z932" t="s">
        <v>74</v>
      </c>
      <c r="AA932" t="s">
        <v>74</v>
      </c>
      <c r="AB932" t="s">
        <v>74</v>
      </c>
      <c r="AC932" t="s">
        <v>74</v>
      </c>
      <c r="AD932" t="s">
        <v>74</v>
      </c>
      <c r="AE932" t="s">
        <v>74</v>
      </c>
      <c r="AF932" t="s">
        <v>74</v>
      </c>
      <c r="AG932">
        <v>24</v>
      </c>
      <c r="AH932">
        <v>38</v>
      </c>
      <c r="AI932">
        <v>45</v>
      </c>
      <c r="AJ932">
        <v>0</v>
      </c>
      <c r="AK932">
        <v>7</v>
      </c>
      <c r="AL932" t="s">
        <v>897</v>
      </c>
      <c r="AM932" t="s">
        <v>244</v>
      </c>
      <c r="AN932" t="s">
        <v>7783</v>
      </c>
      <c r="AO932" t="s">
        <v>899</v>
      </c>
      <c r="AP932" t="s">
        <v>74</v>
      </c>
      <c r="AQ932" t="s">
        <v>74</v>
      </c>
      <c r="AR932" t="s">
        <v>900</v>
      </c>
      <c r="AS932" t="s">
        <v>901</v>
      </c>
      <c r="AT932" t="s">
        <v>10788</v>
      </c>
      <c r="AU932">
        <v>1997</v>
      </c>
      <c r="AV932">
        <v>18</v>
      </c>
      <c r="AW932">
        <v>2</v>
      </c>
      <c r="AX932" t="s">
        <v>74</v>
      </c>
      <c r="AY932" t="s">
        <v>74</v>
      </c>
      <c r="AZ932" t="s">
        <v>74</v>
      </c>
      <c r="BA932" t="s">
        <v>74</v>
      </c>
      <c r="BB932">
        <v>128</v>
      </c>
      <c r="BC932">
        <v>134</v>
      </c>
      <c r="BD932" t="s">
        <v>74</v>
      </c>
      <c r="BE932" t="s">
        <v>11237</v>
      </c>
      <c r="BF932" t="str">
        <f>HYPERLINK("http://dx.doi.org/10.1007/s003000050167","http://dx.doi.org/10.1007/s003000050167")</f>
        <v>http://dx.doi.org/10.1007/s003000050167</v>
      </c>
      <c r="BG932" t="s">
        <v>74</v>
      </c>
      <c r="BH932" t="s">
        <v>74</v>
      </c>
      <c r="BI932">
        <v>7</v>
      </c>
      <c r="BJ932" t="s">
        <v>903</v>
      </c>
      <c r="BK932" t="s">
        <v>98</v>
      </c>
      <c r="BL932" t="s">
        <v>904</v>
      </c>
      <c r="BM932" t="s">
        <v>11223</v>
      </c>
      <c r="BN932" t="s">
        <v>74</v>
      </c>
      <c r="BO932" t="s">
        <v>74</v>
      </c>
      <c r="BP932" t="s">
        <v>74</v>
      </c>
      <c r="BQ932" t="s">
        <v>74</v>
      </c>
      <c r="BR932" t="s">
        <v>101</v>
      </c>
      <c r="BS932" t="s">
        <v>11238</v>
      </c>
      <c r="BT932" t="str">
        <f>HYPERLINK("https%3A%2F%2Fwww.webofscience.com%2Fwos%2Fwoscc%2Ffull-record%2FWOS:A1997XK96900006","View Full Record in Web of Science")</f>
        <v>View Full Record in Web of Science</v>
      </c>
    </row>
    <row r="933" spans="1:72" x14ac:dyDescent="0.15">
      <c r="A933" t="s">
        <v>72</v>
      </c>
      <c r="B933" t="s">
        <v>11239</v>
      </c>
      <c r="C933" t="s">
        <v>74</v>
      </c>
      <c r="D933" t="s">
        <v>74</v>
      </c>
      <c r="E933" t="s">
        <v>74</v>
      </c>
      <c r="F933" t="s">
        <v>11239</v>
      </c>
      <c r="G933" t="s">
        <v>74</v>
      </c>
      <c r="H933" t="s">
        <v>74</v>
      </c>
      <c r="I933" t="s">
        <v>11240</v>
      </c>
      <c r="J933" t="s">
        <v>888</v>
      </c>
      <c r="K933" t="s">
        <v>74</v>
      </c>
      <c r="L933" t="s">
        <v>74</v>
      </c>
      <c r="M933" t="s">
        <v>77</v>
      </c>
      <c r="N933" t="s">
        <v>78</v>
      </c>
      <c r="O933" t="s">
        <v>74</v>
      </c>
      <c r="P933" t="s">
        <v>74</v>
      </c>
      <c r="Q933" t="s">
        <v>74</v>
      </c>
      <c r="R933" t="s">
        <v>74</v>
      </c>
      <c r="S933" t="s">
        <v>74</v>
      </c>
      <c r="T933" t="s">
        <v>74</v>
      </c>
      <c r="U933" t="s">
        <v>11241</v>
      </c>
      <c r="V933" t="s">
        <v>11242</v>
      </c>
      <c r="W933" t="s">
        <v>11243</v>
      </c>
      <c r="X933" t="s">
        <v>11244</v>
      </c>
      <c r="Y933" t="s">
        <v>11245</v>
      </c>
      <c r="Z933" t="s">
        <v>74</v>
      </c>
      <c r="AA933" t="s">
        <v>74</v>
      </c>
      <c r="AB933" t="s">
        <v>11246</v>
      </c>
      <c r="AC933" t="s">
        <v>74</v>
      </c>
      <c r="AD933" t="s">
        <v>74</v>
      </c>
      <c r="AE933" t="s">
        <v>74</v>
      </c>
      <c r="AF933" t="s">
        <v>74</v>
      </c>
      <c r="AG933">
        <v>19</v>
      </c>
      <c r="AH933">
        <v>47</v>
      </c>
      <c r="AI933">
        <v>52</v>
      </c>
      <c r="AJ933">
        <v>0</v>
      </c>
      <c r="AK933">
        <v>11</v>
      </c>
      <c r="AL933" t="s">
        <v>897</v>
      </c>
      <c r="AM933" t="s">
        <v>244</v>
      </c>
      <c r="AN933" t="s">
        <v>7783</v>
      </c>
      <c r="AO933" t="s">
        <v>899</v>
      </c>
      <c r="AP933" t="s">
        <v>74</v>
      </c>
      <c r="AQ933" t="s">
        <v>74</v>
      </c>
      <c r="AR933" t="s">
        <v>900</v>
      </c>
      <c r="AS933" t="s">
        <v>901</v>
      </c>
      <c r="AT933" t="s">
        <v>10788</v>
      </c>
      <c r="AU933">
        <v>1997</v>
      </c>
      <c r="AV933">
        <v>18</v>
      </c>
      <c r="AW933">
        <v>2</v>
      </c>
      <c r="AX933" t="s">
        <v>74</v>
      </c>
      <c r="AY933" t="s">
        <v>74</v>
      </c>
      <c r="AZ933" t="s">
        <v>74</v>
      </c>
      <c r="BA933" t="s">
        <v>74</v>
      </c>
      <c r="BB933">
        <v>145</v>
      </c>
      <c r="BC933">
        <v>153</v>
      </c>
      <c r="BD933" t="s">
        <v>74</v>
      </c>
      <c r="BE933" t="s">
        <v>11247</v>
      </c>
      <c r="BF933" t="str">
        <f>HYPERLINK("http://dx.doi.org/10.1007/s003000050169","http://dx.doi.org/10.1007/s003000050169")</f>
        <v>http://dx.doi.org/10.1007/s003000050169</v>
      </c>
      <c r="BG933" t="s">
        <v>74</v>
      </c>
      <c r="BH933" t="s">
        <v>74</v>
      </c>
      <c r="BI933">
        <v>9</v>
      </c>
      <c r="BJ933" t="s">
        <v>903</v>
      </c>
      <c r="BK933" t="s">
        <v>98</v>
      </c>
      <c r="BL933" t="s">
        <v>904</v>
      </c>
      <c r="BM933" t="s">
        <v>11223</v>
      </c>
      <c r="BN933" t="s">
        <v>74</v>
      </c>
      <c r="BO933" t="s">
        <v>74</v>
      </c>
      <c r="BP933" t="s">
        <v>74</v>
      </c>
      <c r="BQ933" t="s">
        <v>74</v>
      </c>
      <c r="BR933" t="s">
        <v>101</v>
      </c>
      <c r="BS933" t="s">
        <v>11248</v>
      </c>
      <c r="BT933" t="str">
        <f>HYPERLINK("https%3A%2F%2Fwww.webofscience.com%2Fwos%2Fwoscc%2Ffull-record%2FWOS:A1997XK96900008","View Full Record in Web of Science")</f>
        <v>View Full Record in Web of Science</v>
      </c>
    </row>
    <row r="934" spans="1:72" x14ac:dyDescent="0.15">
      <c r="A934" t="s">
        <v>72</v>
      </c>
      <c r="B934" t="s">
        <v>11249</v>
      </c>
      <c r="C934" t="s">
        <v>74</v>
      </c>
      <c r="D934" t="s">
        <v>74</v>
      </c>
      <c r="E934" t="s">
        <v>74</v>
      </c>
      <c r="F934" t="s">
        <v>11249</v>
      </c>
      <c r="G934" t="s">
        <v>74</v>
      </c>
      <c r="H934" t="s">
        <v>74</v>
      </c>
      <c r="I934" t="s">
        <v>11250</v>
      </c>
      <c r="J934" t="s">
        <v>888</v>
      </c>
      <c r="K934" t="s">
        <v>74</v>
      </c>
      <c r="L934" t="s">
        <v>74</v>
      </c>
      <c r="M934" t="s">
        <v>77</v>
      </c>
      <c r="N934" t="s">
        <v>78</v>
      </c>
      <c r="O934" t="s">
        <v>74</v>
      </c>
      <c r="P934" t="s">
        <v>74</v>
      </c>
      <c r="Q934" t="s">
        <v>74</v>
      </c>
      <c r="R934" t="s">
        <v>74</v>
      </c>
      <c r="S934" t="s">
        <v>74</v>
      </c>
      <c r="T934" t="s">
        <v>74</v>
      </c>
      <c r="U934" t="s">
        <v>11251</v>
      </c>
      <c r="V934" t="s">
        <v>11252</v>
      </c>
      <c r="W934" t="s">
        <v>11253</v>
      </c>
      <c r="X934" t="s">
        <v>11254</v>
      </c>
      <c r="Y934" t="s">
        <v>11255</v>
      </c>
      <c r="Z934" t="s">
        <v>74</v>
      </c>
      <c r="AA934" t="s">
        <v>74</v>
      </c>
      <c r="AB934" t="s">
        <v>74</v>
      </c>
      <c r="AC934" t="s">
        <v>74</v>
      </c>
      <c r="AD934" t="s">
        <v>74</v>
      </c>
      <c r="AE934" t="s">
        <v>74</v>
      </c>
      <c r="AF934" t="s">
        <v>74</v>
      </c>
      <c r="AG934">
        <v>25</v>
      </c>
      <c r="AH934">
        <v>5</v>
      </c>
      <c r="AI934">
        <v>6</v>
      </c>
      <c r="AJ934">
        <v>0</v>
      </c>
      <c r="AK934">
        <v>4</v>
      </c>
      <c r="AL934" t="s">
        <v>897</v>
      </c>
      <c r="AM934" t="s">
        <v>244</v>
      </c>
      <c r="AN934" t="s">
        <v>7783</v>
      </c>
      <c r="AO934" t="s">
        <v>899</v>
      </c>
      <c r="AP934" t="s">
        <v>74</v>
      </c>
      <c r="AQ934" t="s">
        <v>74</v>
      </c>
      <c r="AR934" t="s">
        <v>900</v>
      </c>
      <c r="AS934" t="s">
        <v>901</v>
      </c>
      <c r="AT934" t="s">
        <v>10788</v>
      </c>
      <c r="AU934">
        <v>1997</v>
      </c>
      <c r="AV934">
        <v>18</v>
      </c>
      <c r="AW934">
        <v>2</v>
      </c>
      <c r="AX934" t="s">
        <v>74</v>
      </c>
      <c r="AY934" t="s">
        <v>74</v>
      </c>
      <c r="AZ934" t="s">
        <v>74</v>
      </c>
      <c r="BA934" t="s">
        <v>74</v>
      </c>
      <c r="BB934">
        <v>154</v>
      </c>
      <c r="BC934">
        <v>157</v>
      </c>
      <c r="BD934" t="s">
        <v>74</v>
      </c>
      <c r="BE934" t="s">
        <v>11256</v>
      </c>
      <c r="BF934" t="str">
        <f>HYPERLINK("http://dx.doi.org/10.1007/s003000050170","http://dx.doi.org/10.1007/s003000050170")</f>
        <v>http://dx.doi.org/10.1007/s003000050170</v>
      </c>
      <c r="BG934" t="s">
        <v>74</v>
      </c>
      <c r="BH934" t="s">
        <v>74</v>
      </c>
      <c r="BI934">
        <v>4</v>
      </c>
      <c r="BJ934" t="s">
        <v>903</v>
      </c>
      <c r="BK934" t="s">
        <v>98</v>
      </c>
      <c r="BL934" t="s">
        <v>904</v>
      </c>
      <c r="BM934" t="s">
        <v>11223</v>
      </c>
      <c r="BN934" t="s">
        <v>74</v>
      </c>
      <c r="BO934" t="s">
        <v>74</v>
      </c>
      <c r="BP934" t="s">
        <v>74</v>
      </c>
      <c r="BQ934" t="s">
        <v>74</v>
      </c>
      <c r="BR934" t="s">
        <v>101</v>
      </c>
      <c r="BS934" t="s">
        <v>11257</v>
      </c>
      <c r="BT934" t="str">
        <f>HYPERLINK("https%3A%2F%2Fwww.webofscience.com%2Fwos%2Fwoscc%2Ffull-record%2FWOS:A1997XK96900009","View Full Record in Web of Science")</f>
        <v>View Full Record in Web of Science</v>
      </c>
    </row>
    <row r="935" spans="1:72" x14ac:dyDescent="0.15">
      <c r="A935" t="s">
        <v>72</v>
      </c>
      <c r="B935" t="s">
        <v>11258</v>
      </c>
      <c r="C935" t="s">
        <v>74</v>
      </c>
      <c r="D935" t="s">
        <v>74</v>
      </c>
      <c r="E935" t="s">
        <v>74</v>
      </c>
      <c r="F935" t="s">
        <v>11258</v>
      </c>
      <c r="G935" t="s">
        <v>74</v>
      </c>
      <c r="H935" t="s">
        <v>74</v>
      </c>
      <c r="I935" t="s">
        <v>11259</v>
      </c>
      <c r="J935" t="s">
        <v>888</v>
      </c>
      <c r="K935" t="s">
        <v>74</v>
      </c>
      <c r="L935" t="s">
        <v>74</v>
      </c>
      <c r="M935" t="s">
        <v>77</v>
      </c>
      <c r="N935" t="s">
        <v>78</v>
      </c>
      <c r="O935" t="s">
        <v>74</v>
      </c>
      <c r="P935" t="s">
        <v>74</v>
      </c>
      <c r="Q935" t="s">
        <v>74</v>
      </c>
      <c r="R935" t="s">
        <v>74</v>
      </c>
      <c r="S935" t="s">
        <v>74</v>
      </c>
      <c r="T935" t="s">
        <v>74</v>
      </c>
      <c r="U935" t="s">
        <v>74</v>
      </c>
      <c r="V935" t="s">
        <v>11260</v>
      </c>
      <c r="W935" t="s">
        <v>11261</v>
      </c>
      <c r="X935" t="s">
        <v>11262</v>
      </c>
      <c r="Y935" t="s">
        <v>11263</v>
      </c>
      <c r="Z935" t="s">
        <v>74</v>
      </c>
      <c r="AA935" t="s">
        <v>11264</v>
      </c>
      <c r="AB935" t="s">
        <v>11265</v>
      </c>
      <c r="AC935" t="s">
        <v>74</v>
      </c>
      <c r="AD935" t="s">
        <v>74</v>
      </c>
      <c r="AE935" t="s">
        <v>74</v>
      </c>
      <c r="AF935" t="s">
        <v>74</v>
      </c>
      <c r="AG935">
        <v>13</v>
      </c>
      <c r="AH935">
        <v>8</v>
      </c>
      <c r="AI935">
        <v>8</v>
      </c>
      <c r="AJ935">
        <v>0</v>
      </c>
      <c r="AK935">
        <v>1</v>
      </c>
      <c r="AL935" t="s">
        <v>897</v>
      </c>
      <c r="AM935" t="s">
        <v>244</v>
      </c>
      <c r="AN935" t="s">
        <v>7783</v>
      </c>
      <c r="AO935" t="s">
        <v>899</v>
      </c>
      <c r="AP935" t="s">
        <v>74</v>
      </c>
      <c r="AQ935" t="s">
        <v>74</v>
      </c>
      <c r="AR935" t="s">
        <v>900</v>
      </c>
      <c r="AS935" t="s">
        <v>901</v>
      </c>
      <c r="AT935" t="s">
        <v>10788</v>
      </c>
      <c r="AU935">
        <v>1997</v>
      </c>
      <c r="AV935">
        <v>18</v>
      </c>
      <c r="AW935">
        <v>2</v>
      </c>
      <c r="AX935" t="s">
        <v>74</v>
      </c>
      <c r="AY935" t="s">
        <v>74</v>
      </c>
      <c r="AZ935" t="s">
        <v>74</v>
      </c>
      <c r="BA935" t="s">
        <v>74</v>
      </c>
      <c r="BB935">
        <v>158</v>
      </c>
      <c r="BC935">
        <v>160</v>
      </c>
      <c r="BD935" t="s">
        <v>74</v>
      </c>
      <c r="BE935" t="s">
        <v>11266</v>
      </c>
      <c r="BF935" t="str">
        <f>HYPERLINK("http://dx.doi.org/10.1007/s003000050171","http://dx.doi.org/10.1007/s003000050171")</f>
        <v>http://dx.doi.org/10.1007/s003000050171</v>
      </c>
      <c r="BG935" t="s">
        <v>74</v>
      </c>
      <c r="BH935" t="s">
        <v>74</v>
      </c>
      <c r="BI935">
        <v>3</v>
      </c>
      <c r="BJ935" t="s">
        <v>903</v>
      </c>
      <c r="BK935" t="s">
        <v>98</v>
      </c>
      <c r="BL935" t="s">
        <v>904</v>
      </c>
      <c r="BM935" t="s">
        <v>11223</v>
      </c>
      <c r="BN935" t="s">
        <v>74</v>
      </c>
      <c r="BO935" t="s">
        <v>74</v>
      </c>
      <c r="BP935" t="s">
        <v>74</v>
      </c>
      <c r="BQ935" t="s">
        <v>74</v>
      </c>
      <c r="BR935" t="s">
        <v>101</v>
      </c>
      <c r="BS935" t="s">
        <v>11267</v>
      </c>
      <c r="BT935" t="str">
        <f>HYPERLINK("https%3A%2F%2Fwww.webofscience.com%2Fwos%2Fwoscc%2Ffull-record%2FWOS:A1997XK96900010","View Full Record in Web of Science")</f>
        <v>View Full Record in Web of Science</v>
      </c>
    </row>
    <row r="936" spans="1:72" x14ac:dyDescent="0.15">
      <c r="A936" t="s">
        <v>72</v>
      </c>
      <c r="B936" t="s">
        <v>11268</v>
      </c>
      <c r="C936" t="s">
        <v>74</v>
      </c>
      <c r="D936" t="s">
        <v>74</v>
      </c>
      <c r="E936" t="s">
        <v>74</v>
      </c>
      <c r="F936" t="s">
        <v>11268</v>
      </c>
      <c r="G936" t="s">
        <v>74</v>
      </c>
      <c r="H936" t="s">
        <v>74</v>
      </c>
      <c r="I936" t="s">
        <v>11269</v>
      </c>
      <c r="J936" t="s">
        <v>9655</v>
      </c>
      <c r="K936" t="s">
        <v>74</v>
      </c>
      <c r="L936" t="s">
        <v>74</v>
      </c>
      <c r="M936" t="s">
        <v>77</v>
      </c>
      <c r="N936" t="s">
        <v>78</v>
      </c>
      <c r="O936" t="s">
        <v>74</v>
      </c>
      <c r="P936" t="s">
        <v>74</v>
      </c>
      <c r="Q936" t="s">
        <v>74</v>
      </c>
      <c r="R936" t="s">
        <v>74</v>
      </c>
      <c r="S936" t="s">
        <v>74</v>
      </c>
      <c r="T936" t="s">
        <v>74</v>
      </c>
      <c r="U936" t="s">
        <v>11270</v>
      </c>
      <c r="V936" t="s">
        <v>11271</v>
      </c>
      <c r="W936" t="s">
        <v>11272</v>
      </c>
      <c r="X936" t="s">
        <v>387</v>
      </c>
      <c r="Y936" t="s">
        <v>11273</v>
      </c>
      <c r="Z936" t="s">
        <v>74</v>
      </c>
      <c r="AA936" t="s">
        <v>11274</v>
      </c>
      <c r="AB936" t="s">
        <v>74</v>
      </c>
      <c r="AC936" t="s">
        <v>74</v>
      </c>
      <c r="AD936" t="s">
        <v>74</v>
      </c>
      <c r="AE936" t="s">
        <v>74</v>
      </c>
      <c r="AF936" t="s">
        <v>74</v>
      </c>
      <c r="AG936">
        <v>32</v>
      </c>
      <c r="AH936">
        <v>155</v>
      </c>
      <c r="AI936">
        <v>165</v>
      </c>
      <c r="AJ936">
        <v>0</v>
      </c>
      <c r="AK936">
        <v>21</v>
      </c>
      <c r="AL936" t="s">
        <v>4047</v>
      </c>
      <c r="AM936" t="s">
        <v>244</v>
      </c>
      <c r="AN936" t="s">
        <v>11275</v>
      </c>
      <c r="AO936" t="s">
        <v>9661</v>
      </c>
      <c r="AP936" t="s">
        <v>11276</v>
      </c>
      <c r="AQ936" t="s">
        <v>74</v>
      </c>
      <c r="AR936" t="s">
        <v>9662</v>
      </c>
      <c r="AS936" t="s">
        <v>9663</v>
      </c>
      <c r="AT936" t="s">
        <v>10788</v>
      </c>
      <c r="AU936">
        <v>1997</v>
      </c>
      <c r="AV936">
        <v>61</v>
      </c>
      <c r="AW936">
        <v>2</v>
      </c>
      <c r="AX936" t="s">
        <v>74</v>
      </c>
      <c r="AY936" t="s">
        <v>74</v>
      </c>
      <c r="AZ936" t="s">
        <v>74</v>
      </c>
      <c r="BA936" t="s">
        <v>74</v>
      </c>
      <c r="BB936">
        <v>302</v>
      </c>
      <c r="BC936">
        <v>309</v>
      </c>
      <c r="BD936" t="s">
        <v>74</v>
      </c>
      <c r="BE936" t="s">
        <v>11277</v>
      </c>
      <c r="BF936" t="str">
        <f>HYPERLINK("http://dx.doi.org/10.1016/S0034-4257(97)89497-7","http://dx.doi.org/10.1016/S0034-4257(97)89497-7")</f>
        <v>http://dx.doi.org/10.1016/S0034-4257(97)89497-7</v>
      </c>
      <c r="BG936" t="s">
        <v>74</v>
      </c>
      <c r="BH936" t="s">
        <v>74</v>
      </c>
      <c r="BI936">
        <v>8</v>
      </c>
      <c r="BJ936" t="s">
        <v>9665</v>
      </c>
      <c r="BK936" t="s">
        <v>98</v>
      </c>
      <c r="BL936" t="s">
        <v>9666</v>
      </c>
      <c r="BM936" t="s">
        <v>11278</v>
      </c>
      <c r="BN936" t="s">
        <v>74</v>
      </c>
      <c r="BO936" t="s">
        <v>123</v>
      </c>
      <c r="BP936" t="s">
        <v>74</v>
      </c>
      <c r="BQ936" t="s">
        <v>74</v>
      </c>
      <c r="BR936" t="s">
        <v>101</v>
      </c>
      <c r="BS936" t="s">
        <v>11279</v>
      </c>
      <c r="BT936" t="str">
        <f>HYPERLINK("https%3A%2F%2Fwww.webofscience.com%2Fwos%2Fwoscc%2Ffull-record%2FWOS:A1997XG79300011","View Full Record in Web of Science")</f>
        <v>View Full Record in Web of Science</v>
      </c>
    </row>
    <row r="937" spans="1:72" x14ac:dyDescent="0.15">
      <c r="A937" t="s">
        <v>72</v>
      </c>
      <c r="B937" t="s">
        <v>11280</v>
      </c>
      <c r="C937" t="s">
        <v>74</v>
      </c>
      <c r="D937" t="s">
        <v>74</v>
      </c>
      <c r="E937" t="s">
        <v>74</v>
      </c>
      <c r="F937" t="s">
        <v>11280</v>
      </c>
      <c r="G937" t="s">
        <v>74</v>
      </c>
      <c r="H937" t="s">
        <v>74</v>
      </c>
      <c r="I937" t="s">
        <v>11281</v>
      </c>
      <c r="J937" t="s">
        <v>11282</v>
      </c>
      <c r="K937" t="s">
        <v>74</v>
      </c>
      <c r="L937" t="s">
        <v>74</v>
      </c>
      <c r="M937" t="s">
        <v>77</v>
      </c>
      <c r="N937" t="s">
        <v>494</v>
      </c>
      <c r="O937" t="s">
        <v>74</v>
      </c>
      <c r="P937" t="s">
        <v>74</v>
      </c>
      <c r="Q937" t="s">
        <v>74</v>
      </c>
      <c r="R937" t="s">
        <v>74</v>
      </c>
      <c r="S937" t="s">
        <v>74</v>
      </c>
      <c r="T937" t="s">
        <v>74</v>
      </c>
      <c r="U937" t="s">
        <v>11283</v>
      </c>
      <c r="V937" t="s">
        <v>11284</v>
      </c>
      <c r="W937" t="s">
        <v>11285</v>
      </c>
      <c r="X937" t="s">
        <v>11286</v>
      </c>
      <c r="Y937" t="s">
        <v>11287</v>
      </c>
      <c r="Z937" t="s">
        <v>74</v>
      </c>
      <c r="AA937" t="s">
        <v>11288</v>
      </c>
      <c r="AB937" t="s">
        <v>74</v>
      </c>
      <c r="AC937" t="s">
        <v>74</v>
      </c>
      <c r="AD937" t="s">
        <v>74</v>
      </c>
      <c r="AE937" t="s">
        <v>74</v>
      </c>
      <c r="AF937" t="s">
        <v>74</v>
      </c>
      <c r="AG937">
        <v>130</v>
      </c>
      <c r="AH937">
        <v>493</v>
      </c>
      <c r="AI937">
        <v>570</v>
      </c>
      <c r="AJ937">
        <v>3</v>
      </c>
      <c r="AK937">
        <v>135</v>
      </c>
      <c r="AL937" t="s">
        <v>87</v>
      </c>
      <c r="AM937" t="s">
        <v>88</v>
      </c>
      <c r="AN937" t="s">
        <v>89</v>
      </c>
      <c r="AO937" t="s">
        <v>11289</v>
      </c>
      <c r="AP937" t="s">
        <v>11290</v>
      </c>
      <c r="AQ937" t="s">
        <v>74</v>
      </c>
      <c r="AR937" t="s">
        <v>11291</v>
      </c>
      <c r="AS937" t="s">
        <v>11292</v>
      </c>
      <c r="AT937" t="s">
        <v>10788</v>
      </c>
      <c r="AU937">
        <v>1997</v>
      </c>
      <c r="AV937">
        <v>35</v>
      </c>
      <c r="AW937">
        <v>3</v>
      </c>
      <c r="AX937" t="s">
        <v>74</v>
      </c>
      <c r="AY937" t="s">
        <v>74</v>
      </c>
      <c r="AZ937" t="s">
        <v>74</v>
      </c>
      <c r="BA937" t="s">
        <v>74</v>
      </c>
      <c r="BB937">
        <v>219</v>
      </c>
      <c r="BC937">
        <v>243</v>
      </c>
      <c r="BD937" t="s">
        <v>74</v>
      </c>
      <c r="BE937" t="s">
        <v>11293</v>
      </c>
      <c r="BF937" t="str">
        <f>HYPERLINK("http://dx.doi.org/10.1029/96RG03527","http://dx.doi.org/10.1029/96RG03527")</f>
        <v>http://dx.doi.org/10.1029/96RG03527</v>
      </c>
      <c r="BG937" t="s">
        <v>74</v>
      </c>
      <c r="BH937" t="s">
        <v>74</v>
      </c>
      <c r="BI937">
        <v>25</v>
      </c>
      <c r="BJ937" t="s">
        <v>143</v>
      </c>
      <c r="BK937" t="s">
        <v>98</v>
      </c>
      <c r="BL937" t="s">
        <v>143</v>
      </c>
      <c r="BM937" t="s">
        <v>11294</v>
      </c>
      <c r="BN937" t="s">
        <v>74</v>
      </c>
      <c r="BO937" t="s">
        <v>7968</v>
      </c>
      <c r="BP937" t="s">
        <v>74</v>
      </c>
      <c r="BQ937" t="s">
        <v>74</v>
      </c>
      <c r="BR937" t="s">
        <v>101</v>
      </c>
      <c r="BS937" t="s">
        <v>11295</v>
      </c>
      <c r="BT937" t="str">
        <f>HYPERLINK("https%3A%2F%2Fwww.webofscience.com%2Fwos%2Fwoscc%2Ffull-record%2FWOS:A1997XN90100001","View Full Record in Web of Science")</f>
        <v>View Full Record in Web of Science</v>
      </c>
    </row>
    <row r="938" spans="1:72" x14ac:dyDescent="0.15">
      <c r="A938" t="s">
        <v>72</v>
      </c>
      <c r="B938" t="s">
        <v>11296</v>
      </c>
      <c r="C938" t="s">
        <v>74</v>
      </c>
      <c r="D938" t="s">
        <v>74</v>
      </c>
      <c r="E938" t="s">
        <v>74</v>
      </c>
      <c r="F938" t="s">
        <v>11296</v>
      </c>
      <c r="G938" t="s">
        <v>74</v>
      </c>
      <c r="H938" t="s">
        <v>74</v>
      </c>
      <c r="I938" t="s">
        <v>11297</v>
      </c>
      <c r="J938" t="s">
        <v>7821</v>
      </c>
      <c r="K938" t="s">
        <v>74</v>
      </c>
      <c r="L938" t="s">
        <v>74</v>
      </c>
      <c r="M938" t="s">
        <v>77</v>
      </c>
      <c r="N938" t="s">
        <v>78</v>
      </c>
      <c r="O938" t="s">
        <v>74</v>
      </c>
      <c r="P938" t="s">
        <v>74</v>
      </c>
      <c r="Q938" t="s">
        <v>74</v>
      </c>
      <c r="R938" t="s">
        <v>74</v>
      </c>
      <c r="S938" t="s">
        <v>74</v>
      </c>
      <c r="T938" t="s">
        <v>11298</v>
      </c>
      <c r="U938" t="s">
        <v>74</v>
      </c>
      <c r="V938" t="s">
        <v>11299</v>
      </c>
      <c r="W938" t="s">
        <v>74</v>
      </c>
      <c r="X938" t="s">
        <v>74</v>
      </c>
      <c r="Y938" t="s">
        <v>11300</v>
      </c>
      <c r="Z938" t="s">
        <v>74</v>
      </c>
      <c r="AA938" t="s">
        <v>74</v>
      </c>
      <c r="AB938" t="s">
        <v>74</v>
      </c>
      <c r="AC938" t="s">
        <v>74</v>
      </c>
      <c r="AD938" t="s">
        <v>74</v>
      </c>
      <c r="AE938" t="s">
        <v>74</v>
      </c>
      <c r="AF938" t="s">
        <v>74</v>
      </c>
      <c r="AG938">
        <v>9</v>
      </c>
      <c r="AH938">
        <v>1</v>
      </c>
      <c r="AI938">
        <v>7</v>
      </c>
      <c r="AJ938">
        <v>0</v>
      </c>
      <c r="AK938">
        <v>7</v>
      </c>
      <c r="AL938" t="s">
        <v>7825</v>
      </c>
      <c r="AM938" t="s">
        <v>7826</v>
      </c>
      <c r="AN938" t="s">
        <v>7827</v>
      </c>
      <c r="AO938" t="s">
        <v>7828</v>
      </c>
      <c r="AP938" t="s">
        <v>74</v>
      </c>
      <c r="AQ938" t="s">
        <v>74</v>
      </c>
      <c r="AR938" t="s">
        <v>7829</v>
      </c>
      <c r="AS938" t="s">
        <v>7830</v>
      </c>
      <c r="AT938" t="s">
        <v>10788</v>
      </c>
      <c r="AU938">
        <v>1997</v>
      </c>
      <c r="AV938">
        <v>40</v>
      </c>
      <c r="AW938">
        <v>4</v>
      </c>
      <c r="AX938" t="s">
        <v>74</v>
      </c>
      <c r="AY938" t="s">
        <v>74</v>
      </c>
      <c r="AZ938" t="s">
        <v>74</v>
      </c>
      <c r="BA938" t="s">
        <v>74</v>
      </c>
      <c r="BB938">
        <v>432</v>
      </c>
      <c r="BC938">
        <v>438</v>
      </c>
      <c r="BD938" t="s">
        <v>74</v>
      </c>
      <c r="BE938" t="s">
        <v>11301</v>
      </c>
      <c r="BF938" t="str">
        <f>HYPERLINK("http://dx.doi.org/10.1007/BF02877576","http://dx.doi.org/10.1007/BF02877576")</f>
        <v>http://dx.doi.org/10.1007/BF02877576</v>
      </c>
      <c r="BG938" t="s">
        <v>74</v>
      </c>
      <c r="BH938" t="s">
        <v>74</v>
      </c>
      <c r="BI938">
        <v>7</v>
      </c>
      <c r="BJ938" t="s">
        <v>769</v>
      </c>
      <c r="BK938" t="s">
        <v>98</v>
      </c>
      <c r="BL938" t="s">
        <v>471</v>
      </c>
      <c r="BM938" t="s">
        <v>11302</v>
      </c>
      <c r="BN938" t="s">
        <v>74</v>
      </c>
      <c r="BO938" t="s">
        <v>74</v>
      </c>
      <c r="BP938" t="s">
        <v>74</v>
      </c>
      <c r="BQ938" t="s">
        <v>74</v>
      </c>
      <c r="BR938" t="s">
        <v>101</v>
      </c>
      <c r="BS938" t="s">
        <v>11303</v>
      </c>
      <c r="BT938" t="str">
        <f>HYPERLINK("https%3A%2F%2Fwww.webofscience.com%2Fwos%2Fwoscc%2Ffull-record%2FWOS:A1997XR16400013","View Full Record in Web of Science")</f>
        <v>View Full Record in Web of Science</v>
      </c>
    </row>
    <row r="939" spans="1:72" x14ac:dyDescent="0.15">
      <c r="A939" t="s">
        <v>72</v>
      </c>
      <c r="B939" t="s">
        <v>8229</v>
      </c>
      <c r="C939" t="s">
        <v>74</v>
      </c>
      <c r="D939" t="s">
        <v>74</v>
      </c>
      <c r="E939" t="s">
        <v>74</v>
      </c>
      <c r="F939" t="s">
        <v>8229</v>
      </c>
      <c r="G939" t="s">
        <v>74</v>
      </c>
      <c r="H939" t="s">
        <v>74</v>
      </c>
      <c r="I939" t="s">
        <v>11304</v>
      </c>
      <c r="J939" t="s">
        <v>9690</v>
      </c>
      <c r="K939" t="s">
        <v>74</v>
      </c>
      <c r="L939" t="s">
        <v>74</v>
      </c>
      <c r="M939" t="s">
        <v>77</v>
      </c>
      <c r="N939" t="s">
        <v>8231</v>
      </c>
      <c r="O939" t="s">
        <v>74</v>
      </c>
      <c r="P939" t="s">
        <v>74</v>
      </c>
      <c r="Q939" t="s">
        <v>74</v>
      </c>
      <c r="R939" t="s">
        <v>74</v>
      </c>
      <c r="S939" t="s">
        <v>74</v>
      </c>
      <c r="T939" t="s">
        <v>74</v>
      </c>
      <c r="U939" t="s">
        <v>74</v>
      </c>
      <c r="V939" t="s">
        <v>74</v>
      </c>
      <c r="W939" t="s">
        <v>74</v>
      </c>
      <c r="X939" t="s">
        <v>74</v>
      </c>
      <c r="Y939" t="s">
        <v>74</v>
      </c>
      <c r="Z939" t="s">
        <v>74</v>
      </c>
      <c r="AA939" t="s">
        <v>74</v>
      </c>
      <c r="AB939" t="s">
        <v>74</v>
      </c>
      <c r="AC939" t="s">
        <v>74</v>
      </c>
      <c r="AD939" t="s">
        <v>74</v>
      </c>
      <c r="AE939" t="s">
        <v>74</v>
      </c>
      <c r="AF939" t="s">
        <v>74</v>
      </c>
      <c r="AG939">
        <v>0</v>
      </c>
      <c r="AH939">
        <v>0</v>
      </c>
      <c r="AI939">
        <v>0</v>
      </c>
      <c r="AJ939">
        <v>0</v>
      </c>
      <c r="AK939">
        <v>0</v>
      </c>
      <c r="AL939" t="s">
        <v>9691</v>
      </c>
      <c r="AM939" t="s">
        <v>9692</v>
      </c>
      <c r="AN939" t="s">
        <v>11305</v>
      </c>
      <c r="AO939" t="s">
        <v>9694</v>
      </c>
      <c r="AP939" t="s">
        <v>74</v>
      </c>
      <c r="AQ939" t="s">
        <v>74</v>
      </c>
      <c r="AR939" t="s">
        <v>9690</v>
      </c>
      <c r="AS939" t="s">
        <v>9695</v>
      </c>
      <c r="AT939" t="s">
        <v>10788</v>
      </c>
      <c r="AU939">
        <v>1997</v>
      </c>
      <c r="AV939">
        <v>28</v>
      </c>
      <c r="AW939">
        <v>7</v>
      </c>
      <c r="AX939" t="s">
        <v>74</v>
      </c>
      <c r="AY939" t="s">
        <v>74</v>
      </c>
      <c r="AZ939" t="s">
        <v>74</v>
      </c>
      <c r="BA939" t="s">
        <v>74</v>
      </c>
      <c r="BB939">
        <v>200</v>
      </c>
      <c r="BC939">
        <v>200</v>
      </c>
      <c r="BD939" t="s">
        <v>74</v>
      </c>
      <c r="BE939" t="s">
        <v>74</v>
      </c>
      <c r="BF939" t="s">
        <v>74</v>
      </c>
      <c r="BG939" t="s">
        <v>74</v>
      </c>
      <c r="BH939" t="s">
        <v>74</v>
      </c>
      <c r="BI939">
        <v>1</v>
      </c>
      <c r="BJ939" t="s">
        <v>186</v>
      </c>
      <c r="BK939" t="s">
        <v>98</v>
      </c>
      <c r="BL939" t="s">
        <v>187</v>
      </c>
      <c r="BM939" t="s">
        <v>11306</v>
      </c>
      <c r="BN939" t="s">
        <v>74</v>
      </c>
      <c r="BO939" t="s">
        <v>74</v>
      </c>
      <c r="BP939" t="s">
        <v>74</v>
      </c>
      <c r="BQ939" t="s">
        <v>74</v>
      </c>
      <c r="BR939" t="s">
        <v>101</v>
      </c>
      <c r="BS939" t="s">
        <v>11307</v>
      </c>
      <c r="BT939" t="str">
        <f>HYPERLINK("https%3A%2F%2Fwww.webofscience.com%2Fwos%2Fwoscc%2Ffull-record%2FWOS:A1997YD02600007","View Full Record in Web of Science")</f>
        <v>View Full Record in Web of Science</v>
      </c>
    </row>
    <row r="940" spans="1:72" x14ac:dyDescent="0.15">
      <c r="A940" t="s">
        <v>72</v>
      </c>
      <c r="B940" t="s">
        <v>11308</v>
      </c>
      <c r="C940" t="s">
        <v>74</v>
      </c>
      <c r="D940" t="s">
        <v>74</v>
      </c>
      <c r="E940" t="s">
        <v>74</v>
      </c>
      <c r="F940" t="s">
        <v>11308</v>
      </c>
      <c r="G940" t="s">
        <v>74</v>
      </c>
      <c r="H940" t="s">
        <v>74</v>
      </c>
      <c r="I940" t="s">
        <v>11309</v>
      </c>
      <c r="J940" t="s">
        <v>11310</v>
      </c>
      <c r="K940" t="s">
        <v>74</v>
      </c>
      <c r="L940" t="s">
        <v>74</v>
      </c>
      <c r="M940" t="s">
        <v>77</v>
      </c>
      <c r="N940" t="s">
        <v>494</v>
      </c>
      <c r="O940" t="s">
        <v>74</v>
      </c>
      <c r="P940" t="s">
        <v>74</v>
      </c>
      <c r="Q940" t="s">
        <v>74</v>
      </c>
      <c r="R940" t="s">
        <v>74</v>
      </c>
      <c r="S940" t="s">
        <v>74</v>
      </c>
      <c r="T940" t="s">
        <v>74</v>
      </c>
      <c r="U940" t="s">
        <v>11311</v>
      </c>
      <c r="V940" t="s">
        <v>11312</v>
      </c>
      <c r="W940" t="s">
        <v>74</v>
      </c>
      <c r="X940" t="s">
        <v>74</v>
      </c>
      <c r="Y940" t="s">
        <v>11313</v>
      </c>
      <c r="Z940" t="s">
        <v>74</v>
      </c>
      <c r="AA940" t="s">
        <v>1630</v>
      </c>
      <c r="AB940" t="s">
        <v>1631</v>
      </c>
      <c r="AC940" t="s">
        <v>74</v>
      </c>
      <c r="AD940" t="s">
        <v>74</v>
      </c>
      <c r="AE940" t="s">
        <v>74</v>
      </c>
      <c r="AF940" t="s">
        <v>74</v>
      </c>
      <c r="AG940">
        <v>32</v>
      </c>
      <c r="AH940">
        <v>35</v>
      </c>
      <c r="AI940">
        <v>36</v>
      </c>
      <c r="AJ940">
        <v>0</v>
      </c>
      <c r="AK940">
        <v>8</v>
      </c>
      <c r="AL940" t="s">
        <v>11314</v>
      </c>
      <c r="AM940" t="s">
        <v>11315</v>
      </c>
      <c r="AN940" t="s">
        <v>11316</v>
      </c>
      <c r="AO940" t="s">
        <v>11317</v>
      </c>
      <c r="AP940" t="s">
        <v>74</v>
      </c>
      <c r="AQ940" t="s">
        <v>74</v>
      </c>
      <c r="AR940" t="s">
        <v>11318</v>
      </c>
      <c r="AS940" t="s">
        <v>11319</v>
      </c>
      <c r="AT940" t="s">
        <v>10788</v>
      </c>
      <c r="AU940">
        <v>1997</v>
      </c>
      <c r="AV940">
        <v>4</v>
      </c>
      <c r="AW940">
        <v>4</v>
      </c>
      <c r="AX940" t="s">
        <v>74</v>
      </c>
      <c r="AY940" t="s">
        <v>74</v>
      </c>
      <c r="AZ940" t="s">
        <v>74</v>
      </c>
      <c r="BA940" t="s">
        <v>74</v>
      </c>
      <c r="BB940">
        <v>771</v>
      </c>
      <c r="BC940">
        <v>780</v>
      </c>
      <c r="BD940" t="s">
        <v>74</v>
      </c>
      <c r="BE940" t="s">
        <v>11320</v>
      </c>
      <c r="BF940" t="str">
        <f>HYPERLINK("http://dx.doi.org/10.1142/S0218625X97000754","http://dx.doi.org/10.1142/S0218625X97000754")</f>
        <v>http://dx.doi.org/10.1142/S0218625X97000754</v>
      </c>
      <c r="BG940" t="s">
        <v>74</v>
      </c>
      <c r="BH940" t="s">
        <v>74</v>
      </c>
      <c r="BI940">
        <v>10</v>
      </c>
      <c r="BJ940" t="s">
        <v>11321</v>
      </c>
      <c r="BK940" t="s">
        <v>98</v>
      </c>
      <c r="BL940" t="s">
        <v>1053</v>
      </c>
      <c r="BM940" t="s">
        <v>11322</v>
      </c>
      <c r="BN940" t="s">
        <v>74</v>
      </c>
      <c r="BO940" t="s">
        <v>74</v>
      </c>
      <c r="BP940" t="s">
        <v>74</v>
      </c>
      <c r="BQ940" t="s">
        <v>74</v>
      </c>
      <c r="BR940" t="s">
        <v>101</v>
      </c>
      <c r="BS940" t="s">
        <v>11323</v>
      </c>
      <c r="BT940" t="str">
        <f>HYPERLINK("https%3A%2F%2Fwww.webofscience.com%2Fwos%2Fwoscc%2Ffull-record%2FWOS:A1997YJ07100018","View Full Record in Web of Science")</f>
        <v>View Full Record in Web of Science</v>
      </c>
    </row>
    <row r="941" spans="1:72" x14ac:dyDescent="0.15">
      <c r="A941" t="s">
        <v>72</v>
      </c>
      <c r="B941" t="s">
        <v>11324</v>
      </c>
      <c r="C941" t="s">
        <v>74</v>
      </c>
      <c r="D941" t="s">
        <v>74</v>
      </c>
      <c r="E941" t="s">
        <v>74</v>
      </c>
      <c r="F941" t="s">
        <v>11324</v>
      </c>
      <c r="G941" t="s">
        <v>74</v>
      </c>
      <c r="H941" t="s">
        <v>74</v>
      </c>
      <c r="I941" t="s">
        <v>11325</v>
      </c>
      <c r="J941" t="s">
        <v>11326</v>
      </c>
      <c r="K941" t="s">
        <v>74</v>
      </c>
      <c r="L941" t="s">
        <v>74</v>
      </c>
      <c r="M941" t="s">
        <v>77</v>
      </c>
      <c r="N941" t="s">
        <v>78</v>
      </c>
      <c r="O941" t="s">
        <v>74</v>
      </c>
      <c r="P941" t="s">
        <v>74</v>
      </c>
      <c r="Q941" t="s">
        <v>74</v>
      </c>
      <c r="R941" t="s">
        <v>74</v>
      </c>
      <c r="S941" t="s">
        <v>74</v>
      </c>
      <c r="T941" t="s">
        <v>11327</v>
      </c>
      <c r="U941" t="s">
        <v>11328</v>
      </c>
      <c r="V941" t="s">
        <v>11329</v>
      </c>
      <c r="W941" t="s">
        <v>74</v>
      </c>
      <c r="X941" t="s">
        <v>74</v>
      </c>
      <c r="Y941" t="s">
        <v>11330</v>
      </c>
      <c r="Z941" t="s">
        <v>74</v>
      </c>
      <c r="AA941" t="s">
        <v>74</v>
      </c>
      <c r="AB941" t="s">
        <v>74</v>
      </c>
      <c r="AC941" t="s">
        <v>74</v>
      </c>
      <c r="AD941" t="s">
        <v>74</v>
      </c>
      <c r="AE941" t="s">
        <v>74</v>
      </c>
      <c r="AF941" t="s">
        <v>74</v>
      </c>
      <c r="AG941">
        <v>37</v>
      </c>
      <c r="AH941">
        <v>101</v>
      </c>
      <c r="AI941">
        <v>112</v>
      </c>
      <c r="AJ941">
        <v>0</v>
      </c>
      <c r="AK941">
        <v>18</v>
      </c>
      <c r="AL941" t="s">
        <v>1956</v>
      </c>
      <c r="AM941" t="s">
        <v>1957</v>
      </c>
      <c r="AN941" t="s">
        <v>1958</v>
      </c>
      <c r="AO941" t="s">
        <v>11331</v>
      </c>
      <c r="AP941" t="s">
        <v>74</v>
      </c>
      <c r="AQ941" t="s">
        <v>74</v>
      </c>
      <c r="AR941" t="s">
        <v>11332</v>
      </c>
      <c r="AS941" t="s">
        <v>11333</v>
      </c>
      <c r="AT941" t="s">
        <v>10788</v>
      </c>
      <c r="AU941">
        <v>1997</v>
      </c>
      <c r="AV941">
        <v>20</v>
      </c>
      <c r="AW941">
        <v>3</v>
      </c>
      <c r="AX941" t="s">
        <v>74</v>
      </c>
      <c r="AY941" t="s">
        <v>74</v>
      </c>
      <c r="AZ941" t="s">
        <v>74</v>
      </c>
      <c r="BA941" t="s">
        <v>74</v>
      </c>
      <c r="BB941">
        <v>356</v>
      </c>
      <c r="BC941">
        <v>365</v>
      </c>
      <c r="BD941" t="s">
        <v>74</v>
      </c>
      <c r="BE941" t="s">
        <v>11334</v>
      </c>
      <c r="BF941" t="str">
        <f>HYPERLINK("http://dx.doi.org/10.1016/S0723-2020(97)80003-3","http://dx.doi.org/10.1016/S0723-2020(97)80003-3")</f>
        <v>http://dx.doi.org/10.1016/S0723-2020(97)80003-3</v>
      </c>
      <c r="BG941" t="s">
        <v>74</v>
      </c>
      <c r="BH941" t="s">
        <v>74</v>
      </c>
      <c r="BI941">
        <v>10</v>
      </c>
      <c r="BJ941" t="s">
        <v>366</v>
      </c>
      <c r="BK941" t="s">
        <v>98</v>
      </c>
      <c r="BL941" t="s">
        <v>366</v>
      </c>
      <c r="BM941" t="s">
        <v>11335</v>
      </c>
      <c r="BN941" t="s">
        <v>74</v>
      </c>
      <c r="BO941" t="s">
        <v>74</v>
      </c>
      <c r="BP941" t="s">
        <v>74</v>
      </c>
      <c r="BQ941" t="s">
        <v>74</v>
      </c>
      <c r="BR941" t="s">
        <v>101</v>
      </c>
      <c r="BS941" t="s">
        <v>11336</v>
      </c>
      <c r="BT941" t="str">
        <f>HYPERLINK("https%3A%2F%2Fwww.webofscience.com%2Fwos%2Fwoscc%2Ffull-record%2FWOS:A1997XR16700003","View Full Record in Web of Science")</f>
        <v>View Full Record in Web of Science</v>
      </c>
    </row>
    <row r="942" spans="1:72" x14ac:dyDescent="0.15">
      <c r="A942" t="s">
        <v>72</v>
      </c>
      <c r="B942" t="s">
        <v>11337</v>
      </c>
      <c r="C942" t="s">
        <v>74</v>
      </c>
      <c r="D942" t="s">
        <v>74</v>
      </c>
      <c r="E942" t="s">
        <v>74</v>
      </c>
      <c r="F942" t="s">
        <v>11337</v>
      </c>
      <c r="G942" t="s">
        <v>74</v>
      </c>
      <c r="H942" t="s">
        <v>74</v>
      </c>
      <c r="I942" t="s">
        <v>11338</v>
      </c>
      <c r="J942" t="s">
        <v>11339</v>
      </c>
      <c r="K942" t="s">
        <v>74</v>
      </c>
      <c r="L942" t="s">
        <v>74</v>
      </c>
      <c r="M942" t="s">
        <v>77</v>
      </c>
      <c r="N942" t="s">
        <v>78</v>
      </c>
      <c r="O942" t="s">
        <v>74</v>
      </c>
      <c r="P942" t="s">
        <v>74</v>
      </c>
      <c r="Q942" t="s">
        <v>74</v>
      </c>
      <c r="R942" t="s">
        <v>74</v>
      </c>
      <c r="S942" t="s">
        <v>74</v>
      </c>
      <c r="T942" t="s">
        <v>74</v>
      </c>
      <c r="U942" t="s">
        <v>11340</v>
      </c>
      <c r="V942" t="s">
        <v>11341</v>
      </c>
      <c r="W942" t="s">
        <v>74</v>
      </c>
      <c r="X942" t="s">
        <v>74</v>
      </c>
      <c r="Y942" t="s">
        <v>11342</v>
      </c>
      <c r="Z942" t="s">
        <v>74</v>
      </c>
      <c r="AA942" t="s">
        <v>11343</v>
      </c>
      <c r="AB942" t="s">
        <v>11344</v>
      </c>
      <c r="AC942" t="s">
        <v>74</v>
      </c>
      <c r="AD942" t="s">
        <v>74</v>
      </c>
      <c r="AE942" t="s">
        <v>74</v>
      </c>
      <c r="AF942" t="s">
        <v>74</v>
      </c>
      <c r="AG942">
        <v>82</v>
      </c>
      <c r="AH942">
        <v>66</v>
      </c>
      <c r="AI942">
        <v>70</v>
      </c>
      <c r="AJ942">
        <v>0</v>
      </c>
      <c r="AK942">
        <v>6</v>
      </c>
      <c r="AL942" t="s">
        <v>87</v>
      </c>
      <c r="AM942" t="s">
        <v>88</v>
      </c>
      <c r="AN942" t="s">
        <v>7533</v>
      </c>
      <c r="AO942" t="s">
        <v>11345</v>
      </c>
      <c r="AP942" t="s">
        <v>74</v>
      </c>
      <c r="AQ942" t="s">
        <v>74</v>
      </c>
      <c r="AR942" t="s">
        <v>11339</v>
      </c>
      <c r="AS942" t="s">
        <v>11346</v>
      </c>
      <c r="AT942" t="s">
        <v>10788</v>
      </c>
      <c r="AU942">
        <v>1997</v>
      </c>
      <c r="AV942">
        <v>16</v>
      </c>
      <c r="AW942">
        <v>4</v>
      </c>
      <c r="AX942" t="s">
        <v>74</v>
      </c>
      <c r="AY942" t="s">
        <v>74</v>
      </c>
      <c r="AZ942" t="s">
        <v>74</v>
      </c>
      <c r="BA942" t="s">
        <v>74</v>
      </c>
      <c r="BB942">
        <v>682</v>
      </c>
      <c r="BC942">
        <v>701</v>
      </c>
      <c r="BD942" t="s">
        <v>74</v>
      </c>
      <c r="BE942" t="s">
        <v>11347</v>
      </c>
      <c r="BF942" t="str">
        <f>HYPERLINK("http://dx.doi.org/10.1029/97TC01417","http://dx.doi.org/10.1029/97TC01417")</f>
        <v>http://dx.doi.org/10.1029/97TC01417</v>
      </c>
      <c r="BG942" t="s">
        <v>74</v>
      </c>
      <c r="BH942" t="s">
        <v>74</v>
      </c>
      <c r="BI942">
        <v>20</v>
      </c>
      <c r="BJ942" t="s">
        <v>143</v>
      </c>
      <c r="BK942" t="s">
        <v>98</v>
      </c>
      <c r="BL942" t="s">
        <v>143</v>
      </c>
      <c r="BM942" t="s">
        <v>11348</v>
      </c>
      <c r="BN942" t="s">
        <v>74</v>
      </c>
      <c r="BO942" t="s">
        <v>74</v>
      </c>
      <c r="BP942" t="s">
        <v>74</v>
      </c>
      <c r="BQ942" t="s">
        <v>74</v>
      </c>
      <c r="BR942" t="s">
        <v>101</v>
      </c>
      <c r="BS942" t="s">
        <v>11349</v>
      </c>
      <c r="BT942" t="str">
        <f>HYPERLINK("https%3A%2F%2Fwww.webofscience.com%2Fwos%2Fwoscc%2Ffull-record%2FWOS:A1997XR62600008","View Full Record in Web of Science")</f>
        <v>View Full Record in Web of Science</v>
      </c>
    </row>
    <row r="943" spans="1:72" x14ac:dyDescent="0.15">
      <c r="A943" t="s">
        <v>72</v>
      </c>
      <c r="B943" t="s">
        <v>11350</v>
      </c>
      <c r="C943" t="s">
        <v>74</v>
      </c>
      <c r="D943" t="s">
        <v>74</v>
      </c>
      <c r="E943" t="s">
        <v>74</v>
      </c>
      <c r="F943" t="s">
        <v>11350</v>
      </c>
      <c r="G943" t="s">
        <v>74</v>
      </c>
      <c r="H943" t="s">
        <v>74</v>
      </c>
      <c r="I943" t="s">
        <v>11351</v>
      </c>
      <c r="J943" t="s">
        <v>11352</v>
      </c>
      <c r="K943" t="s">
        <v>74</v>
      </c>
      <c r="L943" t="s">
        <v>74</v>
      </c>
      <c r="M943" t="s">
        <v>77</v>
      </c>
      <c r="N943" t="s">
        <v>78</v>
      </c>
      <c r="O943" t="s">
        <v>74</v>
      </c>
      <c r="P943" t="s">
        <v>74</v>
      </c>
      <c r="Q943" t="s">
        <v>74</v>
      </c>
      <c r="R943" t="s">
        <v>74</v>
      </c>
      <c r="S943" t="s">
        <v>74</v>
      </c>
      <c r="T943" t="s">
        <v>74</v>
      </c>
      <c r="U943" t="s">
        <v>11353</v>
      </c>
      <c r="V943" t="s">
        <v>11354</v>
      </c>
      <c r="W943" t="s">
        <v>11355</v>
      </c>
      <c r="X943" t="s">
        <v>3281</v>
      </c>
      <c r="Y943" t="s">
        <v>11356</v>
      </c>
      <c r="Z943" t="s">
        <v>74</v>
      </c>
      <c r="AA943" t="s">
        <v>11357</v>
      </c>
      <c r="AB943" t="s">
        <v>11358</v>
      </c>
      <c r="AC943" t="s">
        <v>74</v>
      </c>
      <c r="AD943" t="s">
        <v>74</v>
      </c>
      <c r="AE943" t="s">
        <v>74</v>
      </c>
      <c r="AF943" t="s">
        <v>74</v>
      </c>
      <c r="AG943">
        <v>26</v>
      </c>
      <c r="AH943">
        <v>21</v>
      </c>
      <c r="AI943">
        <v>21</v>
      </c>
      <c r="AJ943">
        <v>1</v>
      </c>
      <c r="AK943">
        <v>12</v>
      </c>
      <c r="AL943" t="s">
        <v>2664</v>
      </c>
      <c r="AM943" t="s">
        <v>2665</v>
      </c>
      <c r="AN943" t="s">
        <v>2666</v>
      </c>
      <c r="AO943" t="s">
        <v>11359</v>
      </c>
      <c r="AP943" t="s">
        <v>74</v>
      </c>
      <c r="AQ943" t="s">
        <v>74</v>
      </c>
      <c r="AR943" t="s">
        <v>11360</v>
      </c>
      <c r="AS943" t="s">
        <v>11361</v>
      </c>
      <c r="AT943" t="s">
        <v>10788</v>
      </c>
      <c r="AU943">
        <v>1997</v>
      </c>
      <c r="AV943">
        <v>49</v>
      </c>
      <c r="AW943">
        <v>4</v>
      </c>
      <c r="AX943" t="s">
        <v>74</v>
      </c>
      <c r="AY943" t="s">
        <v>74</v>
      </c>
      <c r="AZ943" t="s">
        <v>74</v>
      </c>
      <c r="BA943" t="s">
        <v>74</v>
      </c>
      <c r="BB943">
        <v>486</v>
      </c>
      <c r="BC943">
        <v>502</v>
      </c>
      <c r="BD943" t="s">
        <v>74</v>
      </c>
      <c r="BE943" t="s">
        <v>11362</v>
      </c>
      <c r="BF943" t="str">
        <f>HYPERLINK("http://dx.doi.org/10.1034/j.1600-0870.1997.t01-3-00006.x","http://dx.doi.org/10.1034/j.1600-0870.1997.t01-3-00006.x")</f>
        <v>http://dx.doi.org/10.1034/j.1600-0870.1997.t01-3-00006.x</v>
      </c>
      <c r="BG943" t="s">
        <v>74</v>
      </c>
      <c r="BH943" t="s">
        <v>74</v>
      </c>
      <c r="BI943">
        <v>17</v>
      </c>
      <c r="BJ943" t="s">
        <v>4987</v>
      </c>
      <c r="BK943" t="s">
        <v>98</v>
      </c>
      <c r="BL943" t="s">
        <v>4987</v>
      </c>
      <c r="BM943" t="s">
        <v>11363</v>
      </c>
      <c r="BN943" t="s">
        <v>74</v>
      </c>
      <c r="BO943" t="s">
        <v>1351</v>
      </c>
      <c r="BP943" t="s">
        <v>74</v>
      </c>
      <c r="BQ943" t="s">
        <v>74</v>
      </c>
      <c r="BR943" t="s">
        <v>101</v>
      </c>
      <c r="BS943" t="s">
        <v>11364</v>
      </c>
      <c r="BT943" t="str">
        <f>HYPERLINK("https%3A%2F%2Fwww.webofscience.com%2Fwos%2Fwoscc%2Ffull-record%2FWOS:A1997XQ73900006","View Full Record in Web of Science")</f>
        <v>View Full Record in Web of Science</v>
      </c>
    </row>
    <row r="944" spans="1:72" x14ac:dyDescent="0.15">
      <c r="A944" t="s">
        <v>72</v>
      </c>
      <c r="B944" t="s">
        <v>11365</v>
      </c>
      <c r="C944" t="s">
        <v>74</v>
      </c>
      <c r="D944" t="s">
        <v>74</v>
      </c>
      <c r="E944" t="s">
        <v>74</v>
      </c>
      <c r="F944" t="s">
        <v>11365</v>
      </c>
      <c r="G944" t="s">
        <v>74</v>
      </c>
      <c r="H944" t="s">
        <v>74</v>
      </c>
      <c r="I944" t="s">
        <v>11366</v>
      </c>
      <c r="J944" t="s">
        <v>10624</v>
      </c>
      <c r="K944" t="s">
        <v>74</v>
      </c>
      <c r="L944" t="s">
        <v>74</v>
      </c>
      <c r="M944" t="s">
        <v>77</v>
      </c>
      <c r="N944" t="s">
        <v>11367</v>
      </c>
      <c r="O944" t="s">
        <v>74</v>
      </c>
      <c r="P944" t="s">
        <v>74</v>
      </c>
      <c r="Q944" t="s">
        <v>74</v>
      </c>
      <c r="R944" t="s">
        <v>74</v>
      </c>
      <c r="S944" t="s">
        <v>74</v>
      </c>
      <c r="T944" t="s">
        <v>74</v>
      </c>
      <c r="U944" t="s">
        <v>74</v>
      </c>
      <c r="V944" t="s">
        <v>74</v>
      </c>
      <c r="W944" t="s">
        <v>74</v>
      </c>
      <c r="X944" t="s">
        <v>74</v>
      </c>
      <c r="Y944" t="s">
        <v>11368</v>
      </c>
      <c r="Z944" t="s">
        <v>74</v>
      </c>
      <c r="AA944" t="s">
        <v>74</v>
      </c>
      <c r="AB944" t="s">
        <v>74</v>
      </c>
      <c r="AC944" t="s">
        <v>74</v>
      </c>
      <c r="AD944" t="s">
        <v>74</v>
      </c>
      <c r="AE944" t="s">
        <v>74</v>
      </c>
      <c r="AF944" t="s">
        <v>74</v>
      </c>
      <c r="AG944">
        <v>0</v>
      </c>
      <c r="AH944">
        <v>4</v>
      </c>
      <c r="AI944">
        <v>4</v>
      </c>
      <c r="AJ944">
        <v>0</v>
      </c>
      <c r="AK944">
        <v>1</v>
      </c>
      <c r="AL944" t="s">
        <v>1363</v>
      </c>
      <c r="AM944" t="s">
        <v>214</v>
      </c>
      <c r="AN944" t="s">
        <v>10627</v>
      </c>
      <c r="AO944" t="s">
        <v>10628</v>
      </c>
      <c r="AP944" t="s">
        <v>74</v>
      </c>
      <c r="AQ944" t="s">
        <v>74</v>
      </c>
      <c r="AR944" t="s">
        <v>10629</v>
      </c>
      <c r="AS944" t="s">
        <v>10630</v>
      </c>
      <c r="AT944" t="s">
        <v>10788</v>
      </c>
      <c r="AU944">
        <v>1997</v>
      </c>
      <c r="AV944">
        <v>12</v>
      </c>
      <c r="AW944">
        <v>8</v>
      </c>
      <c r="AX944" t="s">
        <v>74</v>
      </c>
      <c r="AY944" t="s">
        <v>74</v>
      </c>
      <c r="AZ944" t="s">
        <v>74</v>
      </c>
      <c r="BA944" t="s">
        <v>74</v>
      </c>
      <c r="BB944">
        <v>327</v>
      </c>
      <c r="BC944">
        <v>328</v>
      </c>
      <c r="BD944" t="s">
        <v>74</v>
      </c>
      <c r="BE944" t="s">
        <v>11369</v>
      </c>
      <c r="BF944" t="str">
        <f>HYPERLINK("http://dx.doi.org/10.1016/S0169-5347(97)89923-5","http://dx.doi.org/10.1016/S0169-5347(97)89923-5")</f>
        <v>http://dx.doi.org/10.1016/S0169-5347(97)89923-5</v>
      </c>
      <c r="BG944" t="s">
        <v>74</v>
      </c>
      <c r="BH944" t="s">
        <v>74</v>
      </c>
      <c r="BI944">
        <v>2</v>
      </c>
      <c r="BJ944" t="s">
        <v>10632</v>
      </c>
      <c r="BK944" t="s">
        <v>98</v>
      </c>
      <c r="BL944" t="s">
        <v>10633</v>
      </c>
      <c r="BM944" t="s">
        <v>11370</v>
      </c>
      <c r="BN944" t="s">
        <v>74</v>
      </c>
      <c r="BO944" t="s">
        <v>74</v>
      </c>
      <c r="BP944" t="s">
        <v>74</v>
      </c>
      <c r="BQ944" t="s">
        <v>74</v>
      </c>
      <c r="BR944" t="s">
        <v>101</v>
      </c>
      <c r="BS944" t="s">
        <v>11371</v>
      </c>
      <c r="BT944" t="str">
        <f>HYPERLINK("https%3A%2F%2Fwww.webofscience.com%2Fwos%2Fwoscc%2Ffull-record%2FWOS:A1997XL87900018","View Full Record in Web of Science")</f>
        <v>View Full Record in Web of Science</v>
      </c>
    </row>
    <row r="945" spans="1:72" x14ac:dyDescent="0.15">
      <c r="A945" t="s">
        <v>72</v>
      </c>
      <c r="B945" t="s">
        <v>11372</v>
      </c>
      <c r="C945" t="s">
        <v>74</v>
      </c>
      <c r="D945" t="s">
        <v>74</v>
      </c>
      <c r="E945" t="s">
        <v>74</v>
      </c>
      <c r="F945" t="s">
        <v>11372</v>
      </c>
      <c r="G945" t="s">
        <v>74</v>
      </c>
      <c r="H945" t="s">
        <v>74</v>
      </c>
      <c r="I945" t="s">
        <v>11373</v>
      </c>
      <c r="J945" t="s">
        <v>11374</v>
      </c>
      <c r="K945" t="s">
        <v>74</v>
      </c>
      <c r="L945" t="s">
        <v>74</v>
      </c>
      <c r="M945" t="s">
        <v>77</v>
      </c>
      <c r="N945" t="s">
        <v>379</v>
      </c>
      <c r="O945" t="s">
        <v>11375</v>
      </c>
      <c r="P945" t="s">
        <v>11376</v>
      </c>
      <c r="Q945" t="s">
        <v>11377</v>
      </c>
      <c r="R945" t="s">
        <v>74</v>
      </c>
      <c r="S945" t="s">
        <v>74</v>
      </c>
      <c r="T945" t="s">
        <v>74</v>
      </c>
      <c r="U945" t="s">
        <v>74</v>
      </c>
      <c r="V945" t="s">
        <v>11378</v>
      </c>
      <c r="W945" t="s">
        <v>11379</v>
      </c>
      <c r="X945" t="s">
        <v>11380</v>
      </c>
      <c r="Y945" t="s">
        <v>11381</v>
      </c>
      <c r="Z945" t="s">
        <v>74</v>
      </c>
      <c r="AA945" t="s">
        <v>74</v>
      </c>
      <c r="AB945" t="s">
        <v>74</v>
      </c>
      <c r="AC945" t="s">
        <v>74</v>
      </c>
      <c r="AD945" t="s">
        <v>74</v>
      </c>
      <c r="AE945" t="s">
        <v>74</v>
      </c>
      <c r="AF945" t="s">
        <v>74</v>
      </c>
      <c r="AG945">
        <v>12</v>
      </c>
      <c r="AH945">
        <v>9</v>
      </c>
      <c r="AI945">
        <v>9</v>
      </c>
      <c r="AJ945">
        <v>0</v>
      </c>
      <c r="AK945">
        <v>3</v>
      </c>
      <c r="AL945" t="s">
        <v>11382</v>
      </c>
      <c r="AM945" t="s">
        <v>11383</v>
      </c>
      <c r="AN945" t="s">
        <v>11384</v>
      </c>
      <c r="AO945" t="s">
        <v>11385</v>
      </c>
      <c r="AP945" t="s">
        <v>74</v>
      </c>
      <c r="AQ945" t="s">
        <v>74</v>
      </c>
      <c r="AR945" t="s">
        <v>11386</v>
      </c>
      <c r="AS945" t="s">
        <v>11387</v>
      </c>
      <c r="AT945" t="s">
        <v>10788</v>
      </c>
      <c r="AU945">
        <v>1997</v>
      </c>
      <c r="AV945">
        <v>160</v>
      </c>
      <c r="AW945">
        <v>4</v>
      </c>
      <c r="AX945" t="s">
        <v>74</v>
      </c>
      <c r="AY945" t="s">
        <v>74</v>
      </c>
      <c r="AZ945" t="s">
        <v>74</v>
      </c>
      <c r="BA945" t="s">
        <v>74</v>
      </c>
      <c r="BB945">
        <v>423</v>
      </c>
      <c r="BC945">
        <v>426</v>
      </c>
      <c r="BD945" t="s">
        <v>74</v>
      </c>
      <c r="BE945" t="s">
        <v>11388</v>
      </c>
      <c r="BF945" t="str">
        <f>HYPERLINK("http://dx.doi.org/10.1002/jpln.19971600312","http://dx.doi.org/10.1002/jpln.19971600312")</f>
        <v>http://dx.doi.org/10.1002/jpln.19971600312</v>
      </c>
      <c r="BG945" t="s">
        <v>74</v>
      </c>
      <c r="BH945" t="s">
        <v>74</v>
      </c>
      <c r="BI945">
        <v>4</v>
      </c>
      <c r="BJ945" t="s">
        <v>11389</v>
      </c>
      <c r="BK945" t="s">
        <v>397</v>
      </c>
      <c r="BL945" t="s">
        <v>11390</v>
      </c>
      <c r="BM945" t="s">
        <v>11391</v>
      </c>
      <c r="BN945" t="s">
        <v>74</v>
      </c>
      <c r="BO945" t="s">
        <v>74</v>
      </c>
      <c r="BP945" t="s">
        <v>74</v>
      </c>
      <c r="BQ945" t="s">
        <v>74</v>
      </c>
      <c r="BR945" t="s">
        <v>101</v>
      </c>
      <c r="BS945" t="s">
        <v>11392</v>
      </c>
      <c r="BT945" t="str">
        <f>HYPERLINK("https%3A%2F%2Fwww.webofscience.com%2Fwos%2Fwoscc%2Ffull-record%2FWOS:A1997XU03300011","View Full Record in Web of Science")</f>
        <v>View Full Record in Web of Science</v>
      </c>
    </row>
    <row r="946" spans="1:72" x14ac:dyDescent="0.15">
      <c r="A946" t="s">
        <v>72</v>
      </c>
      <c r="B946" t="s">
        <v>11393</v>
      </c>
      <c r="C946" t="s">
        <v>74</v>
      </c>
      <c r="D946" t="s">
        <v>74</v>
      </c>
      <c r="E946" t="s">
        <v>74</v>
      </c>
      <c r="F946" t="s">
        <v>11393</v>
      </c>
      <c r="G946" t="s">
        <v>74</v>
      </c>
      <c r="H946" t="s">
        <v>74</v>
      </c>
      <c r="I946" t="s">
        <v>11394</v>
      </c>
      <c r="J946" t="s">
        <v>11395</v>
      </c>
      <c r="K946" t="s">
        <v>74</v>
      </c>
      <c r="L946" t="s">
        <v>74</v>
      </c>
      <c r="M946" t="s">
        <v>4428</v>
      </c>
      <c r="N946" t="s">
        <v>78</v>
      </c>
      <c r="O946" t="s">
        <v>74</v>
      </c>
      <c r="P946" t="s">
        <v>74</v>
      </c>
      <c r="Q946" t="s">
        <v>74</v>
      </c>
      <c r="R946" t="s">
        <v>74</v>
      </c>
      <c r="S946" t="s">
        <v>74</v>
      </c>
      <c r="T946" t="s">
        <v>74</v>
      </c>
      <c r="U946" t="s">
        <v>74</v>
      </c>
      <c r="V946" t="s">
        <v>11396</v>
      </c>
      <c r="W946" t="s">
        <v>9386</v>
      </c>
      <c r="X946" t="s">
        <v>322</v>
      </c>
      <c r="Y946" t="s">
        <v>11397</v>
      </c>
      <c r="Z946" t="s">
        <v>74</v>
      </c>
      <c r="AA946" t="s">
        <v>74</v>
      </c>
      <c r="AB946" t="s">
        <v>74</v>
      </c>
      <c r="AC946" t="s">
        <v>74</v>
      </c>
      <c r="AD946" t="s">
        <v>74</v>
      </c>
      <c r="AE946" t="s">
        <v>74</v>
      </c>
      <c r="AF946" t="s">
        <v>74</v>
      </c>
      <c r="AG946">
        <v>11</v>
      </c>
      <c r="AH946">
        <v>1</v>
      </c>
      <c r="AI946">
        <v>1</v>
      </c>
      <c r="AJ946">
        <v>0</v>
      </c>
      <c r="AK946">
        <v>1</v>
      </c>
      <c r="AL946" t="s">
        <v>4431</v>
      </c>
      <c r="AM946" t="s">
        <v>4432</v>
      </c>
      <c r="AN946" t="s">
        <v>4433</v>
      </c>
      <c r="AO946" t="s">
        <v>11398</v>
      </c>
      <c r="AP946" t="s">
        <v>74</v>
      </c>
      <c r="AQ946" t="s">
        <v>74</v>
      </c>
      <c r="AR946" t="s">
        <v>11399</v>
      </c>
      <c r="AS946" t="s">
        <v>11400</v>
      </c>
      <c r="AT946" t="s">
        <v>10788</v>
      </c>
      <c r="AU946">
        <v>1997</v>
      </c>
      <c r="AV946">
        <v>76</v>
      </c>
      <c r="AW946">
        <v>8</v>
      </c>
      <c r="AX946" t="s">
        <v>74</v>
      </c>
      <c r="AY946" t="s">
        <v>74</v>
      </c>
      <c r="AZ946" t="s">
        <v>74</v>
      </c>
      <c r="BA946" t="s">
        <v>74</v>
      </c>
      <c r="BB946">
        <v>910</v>
      </c>
      <c r="BC946">
        <v>914</v>
      </c>
      <c r="BD946" t="s">
        <v>74</v>
      </c>
      <c r="BE946" t="s">
        <v>74</v>
      </c>
      <c r="BF946" t="s">
        <v>74</v>
      </c>
      <c r="BG946" t="s">
        <v>74</v>
      </c>
      <c r="BH946" t="s">
        <v>74</v>
      </c>
      <c r="BI946">
        <v>5</v>
      </c>
      <c r="BJ946" t="s">
        <v>417</v>
      </c>
      <c r="BK946" t="s">
        <v>98</v>
      </c>
      <c r="BL946" t="s">
        <v>417</v>
      </c>
      <c r="BM946" t="s">
        <v>11401</v>
      </c>
      <c r="BN946" t="s">
        <v>74</v>
      </c>
      <c r="BO946" t="s">
        <v>74</v>
      </c>
      <c r="BP946" t="s">
        <v>74</v>
      </c>
      <c r="BQ946" t="s">
        <v>74</v>
      </c>
      <c r="BR946" t="s">
        <v>101</v>
      </c>
      <c r="BS946" t="s">
        <v>11402</v>
      </c>
      <c r="BT946" t="str">
        <f>HYPERLINK("https%3A%2F%2Fwww.webofscience.com%2Fwos%2Fwoscc%2Ffull-record%2FWOS:A1997XX75900004","View Full Record in Web of Science")</f>
        <v>View Full Record in Web of Science</v>
      </c>
    </row>
    <row r="947" spans="1:72" x14ac:dyDescent="0.15">
      <c r="A947" t="s">
        <v>72</v>
      </c>
      <c r="B947" t="s">
        <v>11403</v>
      </c>
      <c r="C947" t="s">
        <v>74</v>
      </c>
      <c r="D947" t="s">
        <v>74</v>
      </c>
      <c r="E947" t="s">
        <v>74</v>
      </c>
      <c r="F947" t="s">
        <v>11403</v>
      </c>
      <c r="G947" t="s">
        <v>74</v>
      </c>
      <c r="H947" t="s">
        <v>74</v>
      </c>
      <c r="I947" t="s">
        <v>11404</v>
      </c>
      <c r="J947" t="s">
        <v>192</v>
      </c>
      <c r="K947" t="s">
        <v>74</v>
      </c>
      <c r="L947" t="s">
        <v>74</v>
      </c>
      <c r="M947" t="s">
        <v>77</v>
      </c>
      <c r="N947" t="s">
        <v>78</v>
      </c>
      <c r="O947" t="s">
        <v>74</v>
      </c>
      <c r="P947" t="s">
        <v>74</v>
      </c>
      <c r="Q947" t="s">
        <v>74</v>
      </c>
      <c r="R947" t="s">
        <v>74</v>
      </c>
      <c r="S947" t="s">
        <v>74</v>
      </c>
      <c r="T947" t="s">
        <v>74</v>
      </c>
      <c r="U947" t="s">
        <v>11405</v>
      </c>
      <c r="V947" t="s">
        <v>11406</v>
      </c>
      <c r="W947" t="s">
        <v>74</v>
      </c>
      <c r="X947" t="s">
        <v>74</v>
      </c>
      <c r="Y947" t="s">
        <v>11407</v>
      </c>
      <c r="Z947" t="s">
        <v>74</v>
      </c>
      <c r="AA947" t="s">
        <v>11408</v>
      </c>
      <c r="AB947" t="s">
        <v>74</v>
      </c>
      <c r="AC947" t="s">
        <v>74</v>
      </c>
      <c r="AD947" t="s">
        <v>74</v>
      </c>
      <c r="AE947" t="s">
        <v>74</v>
      </c>
      <c r="AF947" t="s">
        <v>74</v>
      </c>
      <c r="AG947">
        <v>15</v>
      </c>
      <c r="AH947">
        <v>49</v>
      </c>
      <c r="AI947">
        <v>55</v>
      </c>
      <c r="AJ947">
        <v>0</v>
      </c>
      <c r="AK947">
        <v>9</v>
      </c>
      <c r="AL947" t="s">
        <v>200</v>
      </c>
      <c r="AM947" t="s">
        <v>201</v>
      </c>
      <c r="AN947" t="s">
        <v>202</v>
      </c>
      <c r="AO947" t="s">
        <v>203</v>
      </c>
      <c r="AP947" t="s">
        <v>74</v>
      </c>
      <c r="AQ947" t="s">
        <v>74</v>
      </c>
      <c r="AR947" t="s">
        <v>192</v>
      </c>
      <c r="AS947" t="s">
        <v>204</v>
      </c>
      <c r="AT947" t="s">
        <v>11409</v>
      </c>
      <c r="AU947">
        <v>1997</v>
      </c>
      <c r="AV947">
        <v>388</v>
      </c>
      <c r="AW947">
        <v>6641</v>
      </c>
      <c r="AX947" t="s">
        <v>74</v>
      </c>
      <c r="AY947" t="s">
        <v>74</v>
      </c>
      <c r="AZ947" t="s">
        <v>74</v>
      </c>
      <c r="BA947" t="s">
        <v>74</v>
      </c>
      <c r="BB947">
        <v>460</v>
      </c>
      <c r="BC947">
        <v>462</v>
      </c>
      <c r="BD947" t="s">
        <v>74</v>
      </c>
      <c r="BE947" t="s">
        <v>11410</v>
      </c>
      <c r="BF947" t="str">
        <f>HYPERLINK("http://dx.doi.org/10.1038/41302","http://dx.doi.org/10.1038/41302")</f>
        <v>http://dx.doi.org/10.1038/41302</v>
      </c>
      <c r="BG947" t="s">
        <v>74</v>
      </c>
      <c r="BH947" t="s">
        <v>74</v>
      </c>
      <c r="BI947">
        <v>3</v>
      </c>
      <c r="BJ947" t="s">
        <v>186</v>
      </c>
      <c r="BK947" t="s">
        <v>98</v>
      </c>
      <c r="BL947" t="s">
        <v>187</v>
      </c>
      <c r="BM947" t="s">
        <v>11411</v>
      </c>
      <c r="BN947" t="s">
        <v>74</v>
      </c>
      <c r="BO947" t="s">
        <v>100</v>
      </c>
      <c r="BP947" t="s">
        <v>74</v>
      </c>
      <c r="BQ947" t="s">
        <v>74</v>
      </c>
      <c r="BR947" t="s">
        <v>101</v>
      </c>
      <c r="BS947" t="s">
        <v>11412</v>
      </c>
      <c r="BT947" t="str">
        <f>HYPERLINK("https%3A%2F%2Fwww.webofscience.com%2Fwos%2Fwoscc%2Ffull-record%2FWOS:A1997XN55300044","View Full Record in Web of Science")</f>
        <v>View Full Record in Web of Science</v>
      </c>
    </row>
    <row r="948" spans="1:72" x14ac:dyDescent="0.15">
      <c r="A948" t="s">
        <v>72</v>
      </c>
      <c r="B948" t="s">
        <v>11413</v>
      </c>
      <c r="C948" t="s">
        <v>74</v>
      </c>
      <c r="D948" t="s">
        <v>74</v>
      </c>
      <c r="E948" t="s">
        <v>74</v>
      </c>
      <c r="F948" t="s">
        <v>11413</v>
      </c>
      <c r="G948" t="s">
        <v>74</v>
      </c>
      <c r="H948" t="s">
        <v>74</v>
      </c>
      <c r="I948" t="s">
        <v>11414</v>
      </c>
      <c r="J948" t="s">
        <v>11415</v>
      </c>
      <c r="K948" t="s">
        <v>74</v>
      </c>
      <c r="L948" t="s">
        <v>74</v>
      </c>
      <c r="M948" t="s">
        <v>77</v>
      </c>
      <c r="N948" t="s">
        <v>379</v>
      </c>
      <c r="O948" t="s">
        <v>11416</v>
      </c>
      <c r="P948" t="s">
        <v>11417</v>
      </c>
      <c r="Q948" t="s">
        <v>9087</v>
      </c>
      <c r="R948" t="s">
        <v>74</v>
      </c>
      <c r="S948" t="s">
        <v>74</v>
      </c>
      <c r="T948" t="s">
        <v>11418</v>
      </c>
      <c r="U948" t="s">
        <v>11419</v>
      </c>
      <c r="V948" t="s">
        <v>11420</v>
      </c>
      <c r="W948" t="s">
        <v>8462</v>
      </c>
      <c r="X948" t="s">
        <v>3108</v>
      </c>
      <c r="Y948" t="s">
        <v>11421</v>
      </c>
      <c r="Z948" t="s">
        <v>74</v>
      </c>
      <c r="AA948" t="s">
        <v>10725</v>
      </c>
      <c r="AB948" t="s">
        <v>74</v>
      </c>
      <c r="AC948" t="s">
        <v>74</v>
      </c>
      <c r="AD948" t="s">
        <v>74</v>
      </c>
      <c r="AE948" t="s">
        <v>74</v>
      </c>
      <c r="AF948" t="s">
        <v>74</v>
      </c>
      <c r="AG948">
        <v>25</v>
      </c>
      <c r="AH948">
        <v>12</v>
      </c>
      <c r="AI948">
        <v>12</v>
      </c>
      <c r="AJ948">
        <v>0</v>
      </c>
      <c r="AK948">
        <v>16</v>
      </c>
      <c r="AL948" t="s">
        <v>451</v>
      </c>
      <c r="AM948" t="s">
        <v>214</v>
      </c>
      <c r="AN948" t="s">
        <v>7151</v>
      </c>
      <c r="AO948" t="s">
        <v>11422</v>
      </c>
      <c r="AP948" t="s">
        <v>74</v>
      </c>
      <c r="AQ948" t="s">
        <v>74</v>
      </c>
      <c r="AR948" t="s">
        <v>11423</v>
      </c>
      <c r="AS948" t="s">
        <v>11424</v>
      </c>
      <c r="AT948" t="s">
        <v>11425</v>
      </c>
      <c r="AU948">
        <v>1997</v>
      </c>
      <c r="AV948">
        <v>52</v>
      </c>
      <c r="AW948" t="s">
        <v>11426</v>
      </c>
      <c r="AX948" t="s">
        <v>74</v>
      </c>
      <c r="AY948" t="s">
        <v>74</v>
      </c>
      <c r="AZ948" t="s">
        <v>74</v>
      </c>
      <c r="BA948" t="s">
        <v>74</v>
      </c>
      <c r="BB948">
        <v>1535</v>
      </c>
      <c r="BC948">
        <v>1544</v>
      </c>
      <c r="BD948" t="s">
        <v>74</v>
      </c>
      <c r="BE948" t="s">
        <v>11427</v>
      </c>
      <c r="BF948" t="str">
        <f>HYPERLINK("http://dx.doi.org/10.1016/S0584-8547(97)00035-9","http://dx.doi.org/10.1016/S0584-8547(97)00035-9")</f>
        <v>http://dx.doi.org/10.1016/S0584-8547(97)00035-9</v>
      </c>
      <c r="BG948" t="s">
        <v>74</v>
      </c>
      <c r="BH948" t="s">
        <v>74</v>
      </c>
      <c r="BI948">
        <v>10</v>
      </c>
      <c r="BJ948" t="s">
        <v>10314</v>
      </c>
      <c r="BK948" t="s">
        <v>397</v>
      </c>
      <c r="BL948" t="s">
        <v>10314</v>
      </c>
      <c r="BM948" t="s">
        <v>11428</v>
      </c>
      <c r="BN948" t="s">
        <v>74</v>
      </c>
      <c r="BO948" t="s">
        <v>74</v>
      </c>
      <c r="BP948" t="s">
        <v>74</v>
      </c>
      <c r="BQ948" t="s">
        <v>74</v>
      </c>
      <c r="BR948" t="s">
        <v>101</v>
      </c>
      <c r="BS948" t="s">
        <v>11429</v>
      </c>
      <c r="BT948" t="str">
        <f>HYPERLINK("https%3A%2F%2Fwww.webofscience.com%2Fwos%2Fwoscc%2Ffull-record%2FWOS:A1997YF02500030","View Full Record in Web of Science")</f>
        <v>View Full Record in Web of Science</v>
      </c>
    </row>
    <row r="949" spans="1:72" x14ac:dyDescent="0.15">
      <c r="A949" t="s">
        <v>72</v>
      </c>
      <c r="B949" t="s">
        <v>11430</v>
      </c>
      <c r="C949" t="s">
        <v>74</v>
      </c>
      <c r="D949" t="s">
        <v>74</v>
      </c>
      <c r="E949" t="s">
        <v>74</v>
      </c>
      <c r="F949" t="s">
        <v>11430</v>
      </c>
      <c r="G949" t="s">
        <v>74</v>
      </c>
      <c r="H949" t="s">
        <v>74</v>
      </c>
      <c r="I949" t="s">
        <v>11431</v>
      </c>
      <c r="J949" t="s">
        <v>11432</v>
      </c>
      <c r="K949" t="s">
        <v>74</v>
      </c>
      <c r="L949" t="s">
        <v>74</v>
      </c>
      <c r="M949" t="s">
        <v>77</v>
      </c>
      <c r="N949" t="s">
        <v>78</v>
      </c>
      <c r="O949" t="s">
        <v>74</v>
      </c>
      <c r="P949" t="s">
        <v>74</v>
      </c>
      <c r="Q949" t="s">
        <v>74</v>
      </c>
      <c r="R949" t="s">
        <v>74</v>
      </c>
      <c r="S949" t="s">
        <v>74</v>
      </c>
      <c r="T949" t="s">
        <v>74</v>
      </c>
      <c r="U949" t="s">
        <v>11433</v>
      </c>
      <c r="V949" t="s">
        <v>11434</v>
      </c>
      <c r="W949" t="s">
        <v>11435</v>
      </c>
      <c r="X949" t="s">
        <v>1292</v>
      </c>
      <c r="Y949" t="s">
        <v>11436</v>
      </c>
      <c r="Z949" t="s">
        <v>74</v>
      </c>
      <c r="AA949" t="s">
        <v>74</v>
      </c>
      <c r="AB949" t="s">
        <v>7054</v>
      </c>
      <c r="AC949" t="s">
        <v>74</v>
      </c>
      <c r="AD949" t="s">
        <v>74</v>
      </c>
      <c r="AE949" t="s">
        <v>74</v>
      </c>
      <c r="AF949" t="s">
        <v>74</v>
      </c>
      <c r="AG949">
        <v>42</v>
      </c>
      <c r="AH949">
        <v>77</v>
      </c>
      <c r="AI949">
        <v>83</v>
      </c>
      <c r="AJ949">
        <v>0</v>
      </c>
      <c r="AK949">
        <v>16</v>
      </c>
      <c r="AL949" t="s">
        <v>11437</v>
      </c>
      <c r="AM949" t="s">
        <v>201</v>
      </c>
      <c r="AN949" t="s">
        <v>11438</v>
      </c>
      <c r="AO949" t="s">
        <v>11439</v>
      </c>
      <c r="AP949" t="s">
        <v>74</v>
      </c>
      <c r="AQ949" t="s">
        <v>74</v>
      </c>
      <c r="AR949" t="s">
        <v>11440</v>
      </c>
      <c r="AS949" t="s">
        <v>11441</v>
      </c>
      <c r="AT949" t="s">
        <v>11442</v>
      </c>
      <c r="AU949">
        <v>1997</v>
      </c>
      <c r="AV949">
        <v>352</v>
      </c>
      <c r="AW949">
        <v>1355</v>
      </c>
      <c r="AX949" t="s">
        <v>74</v>
      </c>
      <c r="AY949" t="s">
        <v>74</v>
      </c>
      <c r="AZ949" t="s">
        <v>74</v>
      </c>
      <c r="BA949" t="s">
        <v>74</v>
      </c>
      <c r="BB949">
        <v>851</v>
      </c>
      <c r="BC949">
        <v>858</v>
      </c>
      <c r="BD949" t="s">
        <v>74</v>
      </c>
      <c r="BE949" t="s">
        <v>11443</v>
      </c>
      <c r="BF949" t="str">
        <f>HYPERLINK("http://dx.doi.org/10.1098/rstb.1997.0065","http://dx.doi.org/10.1098/rstb.1997.0065")</f>
        <v>http://dx.doi.org/10.1098/rstb.1997.0065</v>
      </c>
      <c r="BG949" t="s">
        <v>74</v>
      </c>
      <c r="BH949" t="s">
        <v>74</v>
      </c>
      <c r="BI949">
        <v>8</v>
      </c>
      <c r="BJ949" t="s">
        <v>1386</v>
      </c>
      <c r="BK949" t="s">
        <v>98</v>
      </c>
      <c r="BL949" t="s">
        <v>1387</v>
      </c>
      <c r="BM949" t="s">
        <v>11444</v>
      </c>
      <c r="BN949" t="s">
        <v>74</v>
      </c>
      <c r="BO949" t="s">
        <v>11445</v>
      </c>
      <c r="BP949" t="s">
        <v>74</v>
      </c>
      <c r="BQ949" t="s">
        <v>74</v>
      </c>
      <c r="BR949" t="s">
        <v>101</v>
      </c>
      <c r="BS949" t="s">
        <v>11446</v>
      </c>
      <c r="BT949" t="str">
        <f>HYPERLINK("https%3A%2F%2Fwww.webofscience.com%2Fwos%2Fwoscc%2Ffull-record%2FWOS:A1997XQ20400006","View Full Record in Web of Science")</f>
        <v>View Full Record in Web of Science</v>
      </c>
    </row>
    <row r="950" spans="1:72" x14ac:dyDescent="0.15">
      <c r="A950" t="s">
        <v>72</v>
      </c>
      <c r="B950" t="s">
        <v>11447</v>
      </c>
      <c r="C950" t="s">
        <v>74</v>
      </c>
      <c r="D950" t="s">
        <v>74</v>
      </c>
      <c r="E950" t="s">
        <v>74</v>
      </c>
      <c r="F950" t="s">
        <v>11447</v>
      </c>
      <c r="G950" t="s">
        <v>74</v>
      </c>
      <c r="H950" t="s">
        <v>74</v>
      </c>
      <c r="I950" t="s">
        <v>11448</v>
      </c>
      <c r="J950" t="s">
        <v>994</v>
      </c>
      <c r="K950" t="s">
        <v>74</v>
      </c>
      <c r="L950" t="s">
        <v>74</v>
      </c>
      <c r="M950" t="s">
        <v>77</v>
      </c>
      <c r="N950" t="s">
        <v>78</v>
      </c>
      <c r="O950" t="s">
        <v>74</v>
      </c>
      <c r="P950" t="s">
        <v>74</v>
      </c>
      <c r="Q950" t="s">
        <v>74</v>
      </c>
      <c r="R950" t="s">
        <v>74</v>
      </c>
      <c r="S950" t="s">
        <v>74</v>
      </c>
      <c r="T950" t="s">
        <v>74</v>
      </c>
      <c r="U950" t="s">
        <v>11449</v>
      </c>
      <c r="V950" t="s">
        <v>11450</v>
      </c>
      <c r="W950" t="s">
        <v>74</v>
      </c>
      <c r="X950" t="s">
        <v>74</v>
      </c>
      <c r="Y950" t="s">
        <v>11451</v>
      </c>
      <c r="Z950" t="s">
        <v>74</v>
      </c>
      <c r="AA950" t="s">
        <v>74</v>
      </c>
      <c r="AB950" t="s">
        <v>74</v>
      </c>
      <c r="AC950" t="s">
        <v>74</v>
      </c>
      <c r="AD950" t="s">
        <v>74</v>
      </c>
      <c r="AE950" t="s">
        <v>74</v>
      </c>
      <c r="AF950" t="s">
        <v>74</v>
      </c>
      <c r="AG950">
        <v>85</v>
      </c>
      <c r="AH950">
        <v>21</v>
      </c>
      <c r="AI950">
        <v>22</v>
      </c>
      <c r="AJ950">
        <v>0</v>
      </c>
      <c r="AK950">
        <v>1</v>
      </c>
      <c r="AL950" t="s">
        <v>87</v>
      </c>
      <c r="AM950" t="s">
        <v>88</v>
      </c>
      <c r="AN950" t="s">
        <v>89</v>
      </c>
      <c r="AO950" t="s">
        <v>1001</v>
      </c>
      <c r="AP950" t="s">
        <v>2036</v>
      </c>
      <c r="AQ950" t="s">
        <v>74</v>
      </c>
      <c r="AR950" t="s">
        <v>1002</v>
      </c>
      <c r="AS950" t="s">
        <v>1003</v>
      </c>
      <c r="AT950" t="s">
        <v>11452</v>
      </c>
      <c r="AU950">
        <v>1997</v>
      </c>
      <c r="AV950">
        <v>102</v>
      </c>
      <c r="AW950" t="s">
        <v>11453</v>
      </c>
      <c r="AX950" t="s">
        <v>74</v>
      </c>
      <c r="AY950" t="s">
        <v>74</v>
      </c>
      <c r="AZ950" t="s">
        <v>74</v>
      </c>
      <c r="BA950" t="s">
        <v>74</v>
      </c>
      <c r="BB950">
        <v>16481</v>
      </c>
      <c r="BC950">
        <v>16497</v>
      </c>
      <c r="BD950" t="s">
        <v>74</v>
      </c>
      <c r="BE950" t="s">
        <v>11454</v>
      </c>
      <c r="BF950" t="str">
        <f>HYPERLINK("http://dx.doi.org/10.1029/97JD00693","http://dx.doi.org/10.1029/97JD00693")</f>
        <v>http://dx.doi.org/10.1029/97JD00693</v>
      </c>
      <c r="BG950" t="s">
        <v>74</v>
      </c>
      <c r="BH950" t="s">
        <v>74</v>
      </c>
      <c r="BI950">
        <v>17</v>
      </c>
      <c r="BJ950" t="s">
        <v>635</v>
      </c>
      <c r="BK950" t="s">
        <v>98</v>
      </c>
      <c r="BL950" t="s">
        <v>635</v>
      </c>
      <c r="BM950" t="s">
        <v>11455</v>
      </c>
      <c r="BN950" t="s">
        <v>74</v>
      </c>
      <c r="BO950" t="s">
        <v>100</v>
      </c>
      <c r="BP950" t="s">
        <v>74</v>
      </c>
      <c r="BQ950" t="s">
        <v>74</v>
      </c>
      <c r="BR950" t="s">
        <v>101</v>
      </c>
      <c r="BS950" t="s">
        <v>11456</v>
      </c>
      <c r="BT950" t="str">
        <f>HYPERLINK("https%3A%2F%2Fwww.webofscience.com%2Fwos%2Fwoscc%2Ffull-record%2FWOS:A1997XN38400007","View Full Record in Web of Science")</f>
        <v>View Full Record in Web of Science</v>
      </c>
    </row>
    <row r="951" spans="1:72" x14ac:dyDescent="0.15">
      <c r="A951" t="s">
        <v>72</v>
      </c>
      <c r="B951" t="s">
        <v>8448</v>
      </c>
      <c r="C951" t="s">
        <v>74</v>
      </c>
      <c r="D951" t="s">
        <v>74</v>
      </c>
      <c r="E951" t="s">
        <v>74</v>
      </c>
      <c r="F951" t="s">
        <v>8448</v>
      </c>
      <c r="G951" t="s">
        <v>74</v>
      </c>
      <c r="H951" t="s">
        <v>74</v>
      </c>
      <c r="I951" t="s">
        <v>11457</v>
      </c>
      <c r="J951" t="s">
        <v>994</v>
      </c>
      <c r="K951" t="s">
        <v>74</v>
      </c>
      <c r="L951" t="s">
        <v>74</v>
      </c>
      <c r="M951" t="s">
        <v>77</v>
      </c>
      <c r="N951" t="s">
        <v>78</v>
      </c>
      <c r="O951" t="s">
        <v>74</v>
      </c>
      <c r="P951" t="s">
        <v>74</v>
      </c>
      <c r="Q951" t="s">
        <v>74</v>
      </c>
      <c r="R951" t="s">
        <v>74</v>
      </c>
      <c r="S951" t="s">
        <v>74</v>
      </c>
      <c r="T951" t="s">
        <v>74</v>
      </c>
      <c r="U951" t="s">
        <v>11458</v>
      </c>
      <c r="V951" t="s">
        <v>11459</v>
      </c>
      <c r="W951" t="s">
        <v>11460</v>
      </c>
      <c r="X951" t="s">
        <v>3023</v>
      </c>
      <c r="Y951" t="s">
        <v>8452</v>
      </c>
      <c r="Z951" t="s">
        <v>74</v>
      </c>
      <c r="AA951" t="s">
        <v>8453</v>
      </c>
      <c r="AB951" t="s">
        <v>8454</v>
      </c>
      <c r="AC951" t="s">
        <v>74</v>
      </c>
      <c r="AD951" t="s">
        <v>74</v>
      </c>
      <c r="AE951" t="s">
        <v>74</v>
      </c>
      <c r="AF951" t="s">
        <v>74</v>
      </c>
      <c r="AG951">
        <v>43</v>
      </c>
      <c r="AH951">
        <v>115</v>
      </c>
      <c r="AI951">
        <v>134</v>
      </c>
      <c r="AJ951">
        <v>0</v>
      </c>
      <c r="AK951">
        <v>21</v>
      </c>
      <c r="AL951" t="s">
        <v>87</v>
      </c>
      <c r="AM951" t="s">
        <v>88</v>
      </c>
      <c r="AN951" t="s">
        <v>89</v>
      </c>
      <c r="AO951" t="s">
        <v>1001</v>
      </c>
      <c r="AP951" t="s">
        <v>2036</v>
      </c>
      <c r="AQ951" t="s">
        <v>74</v>
      </c>
      <c r="AR951" t="s">
        <v>1002</v>
      </c>
      <c r="AS951" t="s">
        <v>1003</v>
      </c>
      <c r="AT951" t="s">
        <v>11452</v>
      </c>
      <c r="AU951">
        <v>1997</v>
      </c>
      <c r="AV951">
        <v>102</v>
      </c>
      <c r="AW951" t="s">
        <v>11453</v>
      </c>
      <c r="AX951" t="s">
        <v>74</v>
      </c>
      <c r="AY951" t="s">
        <v>74</v>
      </c>
      <c r="AZ951" t="s">
        <v>74</v>
      </c>
      <c r="BA951" t="s">
        <v>74</v>
      </c>
      <c r="BB951">
        <v>16761</v>
      </c>
      <c r="BC951">
        <v>16771</v>
      </c>
      <c r="BD951" t="s">
        <v>74</v>
      </c>
      <c r="BE951" t="s">
        <v>11461</v>
      </c>
      <c r="BF951" t="str">
        <f>HYPERLINK("http://dx.doi.org/10.1029/97JD01394","http://dx.doi.org/10.1029/97JD01394")</f>
        <v>http://dx.doi.org/10.1029/97JD01394</v>
      </c>
      <c r="BG951" t="s">
        <v>74</v>
      </c>
      <c r="BH951" t="s">
        <v>74</v>
      </c>
      <c r="BI951">
        <v>11</v>
      </c>
      <c r="BJ951" t="s">
        <v>635</v>
      </c>
      <c r="BK951" t="s">
        <v>98</v>
      </c>
      <c r="BL951" t="s">
        <v>635</v>
      </c>
      <c r="BM951" t="s">
        <v>11455</v>
      </c>
      <c r="BN951" t="s">
        <v>74</v>
      </c>
      <c r="BO951" t="s">
        <v>100</v>
      </c>
      <c r="BP951" t="s">
        <v>74</v>
      </c>
      <c r="BQ951" t="s">
        <v>74</v>
      </c>
      <c r="BR951" t="s">
        <v>101</v>
      </c>
      <c r="BS951" t="s">
        <v>11462</v>
      </c>
      <c r="BT951" t="str">
        <f>HYPERLINK("https%3A%2F%2Fwww.webofscience.com%2Fwos%2Fwoscc%2Ffull-record%2FWOS:A1997XN38400025","View Full Record in Web of Science")</f>
        <v>View Full Record in Web of Science</v>
      </c>
    </row>
    <row r="952" spans="1:72" x14ac:dyDescent="0.15">
      <c r="A952" t="s">
        <v>72</v>
      </c>
      <c r="B952" t="s">
        <v>11463</v>
      </c>
      <c r="C952" t="s">
        <v>74</v>
      </c>
      <c r="D952" t="s">
        <v>74</v>
      </c>
      <c r="E952" t="s">
        <v>74</v>
      </c>
      <c r="F952" t="s">
        <v>11463</v>
      </c>
      <c r="G952" t="s">
        <v>74</v>
      </c>
      <c r="H952" t="s">
        <v>74</v>
      </c>
      <c r="I952" t="s">
        <v>11464</v>
      </c>
      <c r="J952" t="s">
        <v>994</v>
      </c>
      <c r="K952" t="s">
        <v>74</v>
      </c>
      <c r="L952" t="s">
        <v>74</v>
      </c>
      <c r="M952" t="s">
        <v>77</v>
      </c>
      <c r="N952" t="s">
        <v>78</v>
      </c>
      <c r="O952" t="s">
        <v>74</v>
      </c>
      <c r="P952" t="s">
        <v>74</v>
      </c>
      <c r="Q952" t="s">
        <v>74</v>
      </c>
      <c r="R952" t="s">
        <v>74</v>
      </c>
      <c r="S952" t="s">
        <v>74</v>
      </c>
      <c r="T952" t="s">
        <v>74</v>
      </c>
      <c r="U952" t="s">
        <v>11465</v>
      </c>
      <c r="V952" t="s">
        <v>11466</v>
      </c>
      <c r="W952" t="s">
        <v>11467</v>
      </c>
      <c r="X952" t="s">
        <v>498</v>
      </c>
      <c r="Y952" t="s">
        <v>11468</v>
      </c>
      <c r="Z952" t="s">
        <v>74</v>
      </c>
      <c r="AA952" t="s">
        <v>11469</v>
      </c>
      <c r="AB952" t="s">
        <v>199</v>
      </c>
      <c r="AC952" t="s">
        <v>74</v>
      </c>
      <c r="AD952" t="s">
        <v>74</v>
      </c>
      <c r="AE952" t="s">
        <v>74</v>
      </c>
      <c r="AF952" t="s">
        <v>74</v>
      </c>
      <c r="AG952">
        <v>59</v>
      </c>
      <c r="AH952">
        <v>167</v>
      </c>
      <c r="AI952">
        <v>190</v>
      </c>
      <c r="AJ952">
        <v>0</v>
      </c>
      <c r="AK952">
        <v>43</v>
      </c>
      <c r="AL952" t="s">
        <v>87</v>
      </c>
      <c r="AM952" t="s">
        <v>88</v>
      </c>
      <c r="AN952" t="s">
        <v>89</v>
      </c>
      <c r="AO952" t="s">
        <v>1001</v>
      </c>
      <c r="AP952" t="s">
        <v>74</v>
      </c>
      <c r="AQ952" t="s">
        <v>74</v>
      </c>
      <c r="AR952" t="s">
        <v>1002</v>
      </c>
      <c r="AS952" t="s">
        <v>1003</v>
      </c>
      <c r="AT952" t="s">
        <v>11470</v>
      </c>
      <c r="AU952">
        <v>1997</v>
      </c>
      <c r="AV952">
        <v>102</v>
      </c>
      <c r="AW952" t="s">
        <v>11471</v>
      </c>
      <c r="AX952" t="s">
        <v>74</v>
      </c>
      <c r="AY952" t="s">
        <v>74</v>
      </c>
      <c r="AZ952" t="s">
        <v>74</v>
      </c>
      <c r="BA952" t="s">
        <v>74</v>
      </c>
      <c r="BB952">
        <v>15987</v>
      </c>
      <c r="BC952">
        <v>15997</v>
      </c>
      <c r="BD952" t="s">
        <v>74</v>
      </c>
      <c r="BE952" t="s">
        <v>11472</v>
      </c>
      <c r="BF952" t="str">
        <f>HYPERLINK("http://dx.doi.org/10.1029/97JD01017","http://dx.doi.org/10.1029/97JD01017")</f>
        <v>http://dx.doi.org/10.1029/97JD01017</v>
      </c>
      <c r="BG952" t="s">
        <v>74</v>
      </c>
      <c r="BH952" t="s">
        <v>74</v>
      </c>
      <c r="BI952">
        <v>11</v>
      </c>
      <c r="BJ952" t="s">
        <v>635</v>
      </c>
      <c r="BK952" t="s">
        <v>98</v>
      </c>
      <c r="BL952" t="s">
        <v>635</v>
      </c>
      <c r="BM952" t="s">
        <v>11473</v>
      </c>
      <c r="BN952" t="s">
        <v>74</v>
      </c>
      <c r="BO952" t="s">
        <v>953</v>
      </c>
      <c r="BP952" t="s">
        <v>74</v>
      </c>
      <c r="BQ952" t="s">
        <v>74</v>
      </c>
      <c r="BR952" t="s">
        <v>101</v>
      </c>
      <c r="BS952" t="s">
        <v>11474</v>
      </c>
      <c r="BT952" t="str">
        <f>HYPERLINK("https%3A%2F%2Fwww.webofscience.com%2Fwos%2Fwoscc%2Ffull-record%2FWOS:A1997XM34700011","View Full Record in Web of Science")</f>
        <v>View Full Record in Web of Science</v>
      </c>
    </row>
    <row r="953" spans="1:72" x14ac:dyDescent="0.15">
      <c r="A953" t="s">
        <v>72</v>
      </c>
      <c r="B953" t="s">
        <v>11475</v>
      </c>
      <c r="C953" t="s">
        <v>74</v>
      </c>
      <c r="D953" t="s">
        <v>74</v>
      </c>
      <c r="E953" t="s">
        <v>74</v>
      </c>
      <c r="F953" t="s">
        <v>11475</v>
      </c>
      <c r="G953" t="s">
        <v>74</v>
      </c>
      <c r="H953" t="s">
        <v>74</v>
      </c>
      <c r="I953" t="s">
        <v>11476</v>
      </c>
      <c r="J953" t="s">
        <v>994</v>
      </c>
      <c r="K953" t="s">
        <v>74</v>
      </c>
      <c r="L953" t="s">
        <v>74</v>
      </c>
      <c r="M953" t="s">
        <v>77</v>
      </c>
      <c r="N953" t="s">
        <v>78</v>
      </c>
      <c r="O953" t="s">
        <v>74</v>
      </c>
      <c r="P953" t="s">
        <v>74</v>
      </c>
      <c r="Q953" t="s">
        <v>74</v>
      </c>
      <c r="R953" t="s">
        <v>74</v>
      </c>
      <c r="S953" t="s">
        <v>74</v>
      </c>
      <c r="T953" t="s">
        <v>74</v>
      </c>
      <c r="U953" t="s">
        <v>11477</v>
      </c>
      <c r="V953" t="s">
        <v>11478</v>
      </c>
      <c r="W953" t="s">
        <v>74</v>
      </c>
      <c r="X953" t="s">
        <v>74</v>
      </c>
      <c r="Y953" t="s">
        <v>11479</v>
      </c>
      <c r="Z953" t="s">
        <v>74</v>
      </c>
      <c r="AA953" t="s">
        <v>74</v>
      </c>
      <c r="AB953" t="s">
        <v>74</v>
      </c>
      <c r="AC953" t="s">
        <v>74</v>
      </c>
      <c r="AD953" t="s">
        <v>74</v>
      </c>
      <c r="AE953" t="s">
        <v>74</v>
      </c>
      <c r="AF953" t="s">
        <v>74</v>
      </c>
      <c r="AG953">
        <v>56</v>
      </c>
      <c r="AH953">
        <v>2</v>
      </c>
      <c r="AI953">
        <v>2</v>
      </c>
      <c r="AJ953">
        <v>0</v>
      </c>
      <c r="AK953">
        <v>0</v>
      </c>
      <c r="AL953" t="s">
        <v>87</v>
      </c>
      <c r="AM953" t="s">
        <v>88</v>
      </c>
      <c r="AN953" t="s">
        <v>89</v>
      </c>
      <c r="AO953" t="s">
        <v>1001</v>
      </c>
      <c r="AP953" t="s">
        <v>74</v>
      </c>
      <c r="AQ953" t="s">
        <v>74</v>
      </c>
      <c r="AR953" t="s">
        <v>1002</v>
      </c>
      <c r="AS953" t="s">
        <v>1003</v>
      </c>
      <c r="AT953" t="s">
        <v>11470</v>
      </c>
      <c r="AU953">
        <v>1997</v>
      </c>
      <c r="AV953">
        <v>102</v>
      </c>
      <c r="AW953" t="s">
        <v>11471</v>
      </c>
      <c r="AX953" t="s">
        <v>74</v>
      </c>
      <c r="AY953" t="s">
        <v>74</v>
      </c>
      <c r="AZ953" t="s">
        <v>74</v>
      </c>
      <c r="BA953" t="s">
        <v>74</v>
      </c>
      <c r="BB953">
        <v>16065</v>
      </c>
      <c r="BC953">
        <v>16087</v>
      </c>
      <c r="BD953" t="s">
        <v>74</v>
      </c>
      <c r="BE953" t="s">
        <v>11480</v>
      </c>
      <c r="BF953" t="str">
        <f>HYPERLINK("http://dx.doi.org/10.1029/97JD00769","http://dx.doi.org/10.1029/97JD00769")</f>
        <v>http://dx.doi.org/10.1029/97JD00769</v>
      </c>
      <c r="BG953" t="s">
        <v>74</v>
      </c>
      <c r="BH953" t="s">
        <v>74</v>
      </c>
      <c r="BI953">
        <v>23</v>
      </c>
      <c r="BJ953" t="s">
        <v>635</v>
      </c>
      <c r="BK953" t="s">
        <v>98</v>
      </c>
      <c r="BL953" t="s">
        <v>635</v>
      </c>
      <c r="BM953" t="s">
        <v>11473</v>
      </c>
      <c r="BN953" t="s">
        <v>74</v>
      </c>
      <c r="BO953" t="s">
        <v>74</v>
      </c>
      <c r="BP953" t="s">
        <v>74</v>
      </c>
      <c r="BQ953" t="s">
        <v>74</v>
      </c>
      <c r="BR953" t="s">
        <v>101</v>
      </c>
      <c r="BS953" t="s">
        <v>11481</v>
      </c>
      <c r="BT953" t="str">
        <f>HYPERLINK("https%3A%2F%2Fwww.webofscience.com%2Fwos%2Fwoscc%2Ffull-record%2FWOS:A1997XM34700018","View Full Record in Web of Science")</f>
        <v>View Full Record in Web of Science</v>
      </c>
    </row>
    <row r="954" spans="1:72" x14ac:dyDescent="0.15">
      <c r="A954" t="s">
        <v>72</v>
      </c>
      <c r="B954" t="s">
        <v>11482</v>
      </c>
      <c r="C954" t="s">
        <v>74</v>
      </c>
      <c r="D954" t="s">
        <v>74</v>
      </c>
      <c r="E954" t="s">
        <v>74</v>
      </c>
      <c r="F954" t="s">
        <v>11482</v>
      </c>
      <c r="G954" t="s">
        <v>74</v>
      </c>
      <c r="H954" t="s">
        <v>74</v>
      </c>
      <c r="I954" t="s">
        <v>11483</v>
      </c>
      <c r="J954" t="s">
        <v>994</v>
      </c>
      <c r="K954" t="s">
        <v>74</v>
      </c>
      <c r="L954" t="s">
        <v>74</v>
      </c>
      <c r="M954" t="s">
        <v>77</v>
      </c>
      <c r="N954" t="s">
        <v>78</v>
      </c>
      <c r="O954" t="s">
        <v>74</v>
      </c>
      <c r="P954" t="s">
        <v>74</v>
      </c>
      <c r="Q954" t="s">
        <v>74</v>
      </c>
      <c r="R954" t="s">
        <v>74</v>
      </c>
      <c r="S954" t="s">
        <v>74</v>
      </c>
      <c r="T954" t="s">
        <v>74</v>
      </c>
      <c r="U954" t="s">
        <v>11484</v>
      </c>
      <c r="V954" t="s">
        <v>11485</v>
      </c>
      <c r="W954" t="s">
        <v>11486</v>
      </c>
      <c r="X954" t="s">
        <v>11487</v>
      </c>
      <c r="Y954" t="s">
        <v>11488</v>
      </c>
      <c r="Z954" t="s">
        <v>74</v>
      </c>
      <c r="AA954" t="s">
        <v>11489</v>
      </c>
      <c r="AB954" t="s">
        <v>74</v>
      </c>
      <c r="AC954" t="s">
        <v>74</v>
      </c>
      <c r="AD954" t="s">
        <v>74</v>
      </c>
      <c r="AE954" t="s">
        <v>74</v>
      </c>
      <c r="AF954" t="s">
        <v>74</v>
      </c>
      <c r="AG954">
        <v>48</v>
      </c>
      <c r="AH954">
        <v>26</v>
      </c>
      <c r="AI954">
        <v>27</v>
      </c>
      <c r="AJ954">
        <v>0</v>
      </c>
      <c r="AK954">
        <v>3</v>
      </c>
      <c r="AL954" t="s">
        <v>87</v>
      </c>
      <c r="AM954" t="s">
        <v>88</v>
      </c>
      <c r="AN954" t="s">
        <v>89</v>
      </c>
      <c r="AO954" t="s">
        <v>1001</v>
      </c>
      <c r="AP954" t="s">
        <v>2036</v>
      </c>
      <c r="AQ954" t="s">
        <v>74</v>
      </c>
      <c r="AR954" t="s">
        <v>1002</v>
      </c>
      <c r="AS954" t="s">
        <v>1003</v>
      </c>
      <c r="AT954" t="s">
        <v>11470</v>
      </c>
      <c r="AU954">
        <v>1997</v>
      </c>
      <c r="AV954">
        <v>102</v>
      </c>
      <c r="AW954" t="s">
        <v>11471</v>
      </c>
      <c r="AX954" t="s">
        <v>74</v>
      </c>
      <c r="AY954" t="s">
        <v>74</v>
      </c>
      <c r="AZ954" t="s">
        <v>74</v>
      </c>
      <c r="BA954" t="s">
        <v>74</v>
      </c>
      <c r="BB954">
        <v>16109</v>
      </c>
      <c r="BC954">
        <v>16120</v>
      </c>
      <c r="BD954" t="s">
        <v>74</v>
      </c>
      <c r="BE954" t="s">
        <v>11490</v>
      </c>
      <c r="BF954" t="str">
        <f>HYPERLINK("http://dx.doi.org/10.1029/97JD00276","http://dx.doi.org/10.1029/97JD00276")</f>
        <v>http://dx.doi.org/10.1029/97JD00276</v>
      </c>
      <c r="BG954" t="s">
        <v>74</v>
      </c>
      <c r="BH954" t="s">
        <v>74</v>
      </c>
      <c r="BI954">
        <v>12</v>
      </c>
      <c r="BJ954" t="s">
        <v>635</v>
      </c>
      <c r="BK954" t="s">
        <v>98</v>
      </c>
      <c r="BL954" t="s">
        <v>635</v>
      </c>
      <c r="BM954" t="s">
        <v>11473</v>
      </c>
      <c r="BN954" t="s">
        <v>74</v>
      </c>
      <c r="BO954" t="s">
        <v>509</v>
      </c>
      <c r="BP954" t="s">
        <v>74</v>
      </c>
      <c r="BQ954" t="s">
        <v>74</v>
      </c>
      <c r="BR954" t="s">
        <v>101</v>
      </c>
      <c r="BS954" t="s">
        <v>11491</v>
      </c>
      <c r="BT954" t="str">
        <f>HYPERLINK("https%3A%2F%2Fwww.webofscience.com%2Fwos%2Fwoscc%2Ffull-record%2FWOS:A1997XM34700021","View Full Record in Web of Science")</f>
        <v>View Full Record in Web of Science</v>
      </c>
    </row>
    <row r="955" spans="1:72" x14ac:dyDescent="0.15">
      <c r="A955" t="s">
        <v>72</v>
      </c>
      <c r="B955" t="s">
        <v>11492</v>
      </c>
      <c r="C955" t="s">
        <v>74</v>
      </c>
      <c r="D955" t="s">
        <v>74</v>
      </c>
      <c r="E955" t="s">
        <v>74</v>
      </c>
      <c r="F955" t="s">
        <v>11492</v>
      </c>
      <c r="G955" t="s">
        <v>74</v>
      </c>
      <c r="H955" t="s">
        <v>74</v>
      </c>
      <c r="I955" t="s">
        <v>11493</v>
      </c>
      <c r="J955" t="s">
        <v>1074</v>
      </c>
      <c r="K955" t="s">
        <v>74</v>
      </c>
      <c r="L955" t="s">
        <v>74</v>
      </c>
      <c r="M955" t="s">
        <v>77</v>
      </c>
      <c r="N955" t="s">
        <v>78</v>
      </c>
      <c r="O955" t="s">
        <v>74</v>
      </c>
      <c r="P955" t="s">
        <v>74</v>
      </c>
      <c r="Q955" t="s">
        <v>74</v>
      </c>
      <c r="R955" t="s">
        <v>74</v>
      </c>
      <c r="S955" t="s">
        <v>74</v>
      </c>
      <c r="T955" t="s">
        <v>11494</v>
      </c>
      <c r="U955" t="s">
        <v>11495</v>
      </c>
      <c r="V955" t="s">
        <v>11496</v>
      </c>
      <c r="W955" t="s">
        <v>74</v>
      </c>
      <c r="X955" t="s">
        <v>74</v>
      </c>
      <c r="Y955" t="s">
        <v>11497</v>
      </c>
      <c r="Z955" t="s">
        <v>74</v>
      </c>
      <c r="AA955" t="s">
        <v>74</v>
      </c>
      <c r="AB955" t="s">
        <v>74</v>
      </c>
      <c r="AC955" t="s">
        <v>74</v>
      </c>
      <c r="AD955" t="s">
        <v>74</v>
      </c>
      <c r="AE955" t="s">
        <v>74</v>
      </c>
      <c r="AF955" t="s">
        <v>74</v>
      </c>
      <c r="AG955">
        <v>90</v>
      </c>
      <c r="AH955">
        <v>28</v>
      </c>
      <c r="AI955">
        <v>29</v>
      </c>
      <c r="AJ955">
        <v>0</v>
      </c>
      <c r="AK955">
        <v>0</v>
      </c>
      <c r="AL955" t="s">
        <v>1081</v>
      </c>
      <c r="AM955" t="s">
        <v>1082</v>
      </c>
      <c r="AN955" t="s">
        <v>1083</v>
      </c>
      <c r="AO955" t="s">
        <v>1084</v>
      </c>
      <c r="AP955" t="s">
        <v>74</v>
      </c>
      <c r="AQ955" t="s">
        <v>74</v>
      </c>
      <c r="AR955" t="s">
        <v>1074</v>
      </c>
      <c r="AS955" t="s">
        <v>1085</v>
      </c>
      <c r="AT955" t="s">
        <v>11498</v>
      </c>
      <c r="AU955">
        <v>1997</v>
      </c>
      <c r="AV955">
        <v>110</v>
      </c>
      <c r="AW955">
        <v>3</v>
      </c>
      <c r="AX955" t="s">
        <v>74</v>
      </c>
      <c r="AY955" t="s">
        <v>74</v>
      </c>
      <c r="AZ955" t="s">
        <v>74</v>
      </c>
      <c r="BA955" t="s">
        <v>74</v>
      </c>
      <c r="BB955">
        <v>77</v>
      </c>
      <c r="BC955">
        <v>93</v>
      </c>
      <c r="BD955" t="s">
        <v>74</v>
      </c>
      <c r="BE955" t="s">
        <v>74</v>
      </c>
      <c r="BF955" t="s">
        <v>74</v>
      </c>
      <c r="BG955" t="s">
        <v>74</v>
      </c>
      <c r="BH955" t="s">
        <v>74</v>
      </c>
      <c r="BI955">
        <v>17</v>
      </c>
      <c r="BJ955" t="s">
        <v>1087</v>
      </c>
      <c r="BK955" t="s">
        <v>98</v>
      </c>
      <c r="BL955" t="s">
        <v>1087</v>
      </c>
      <c r="BM955" t="s">
        <v>11499</v>
      </c>
      <c r="BN955" t="s">
        <v>74</v>
      </c>
      <c r="BO955" t="s">
        <v>74</v>
      </c>
      <c r="BP955" t="s">
        <v>74</v>
      </c>
      <c r="BQ955" t="s">
        <v>74</v>
      </c>
      <c r="BR955" t="s">
        <v>101</v>
      </c>
      <c r="BS955" t="s">
        <v>11500</v>
      </c>
      <c r="BT955" t="str">
        <f>HYPERLINK("https%3A%2F%2Fwww.webofscience.com%2Fwos%2Fwoscc%2Ffull-record%2FWOS:A1997XM08900001","View Full Record in Web of Science")</f>
        <v>View Full Record in Web of Science</v>
      </c>
    </row>
    <row r="956" spans="1:72" x14ac:dyDescent="0.15">
      <c r="A956" t="s">
        <v>72</v>
      </c>
      <c r="B956" t="s">
        <v>11501</v>
      </c>
      <c r="C956" t="s">
        <v>74</v>
      </c>
      <c r="D956" t="s">
        <v>74</v>
      </c>
      <c r="E956" t="s">
        <v>74</v>
      </c>
      <c r="F956" t="s">
        <v>11501</v>
      </c>
      <c r="G956" t="s">
        <v>74</v>
      </c>
      <c r="H956" t="s">
        <v>74</v>
      </c>
      <c r="I956" t="s">
        <v>11502</v>
      </c>
      <c r="J956" t="s">
        <v>11503</v>
      </c>
      <c r="K956" t="s">
        <v>74</v>
      </c>
      <c r="L956" t="s">
        <v>74</v>
      </c>
      <c r="M956" t="s">
        <v>77</v>
      </c>
      <c r="N956" t="s">
        <v>78</v>
      </c>
      <c r="O956" t="s">
        <v>74</v>
      </c>
      <c r="P956" t="s">
        <v>74</v>
      </c>
      <c r="Q956" t="s">
        <v>74</v>
      </c>
      <c r="R956" t="s">
        <v>74</v>
      </c>
      <c r="S956" t="s">
        <v>74</v>
      </c>
      <c r="T956" t="s">
        <v>11504</v>
      </c>
      <c r="U956" t="s">
        <v>11505</v>
      </c>
      <c r="V956" t="s">
        <v>11506</v>
      </c>
      <c r="W956" t="s">
        <v>11507</v>
      </c>
      <c r="X956" t="s">
        <v>9339</v>
      </c>
      <c r="Y956" t="s">
        <v>11508</v>
      </c>
      <c r="Z956" t="s">
        <v>74</v>
      </c>
      <c r="AA956" t="s">
        <v>11509</v>
      </c>
      <c r="AB956" t="s">
        <v>11510</v>
      </c>
      <c r="AC956" t="s">
        <v>74</v>
      </c>
      <c r="AD956" t="s">
        <v>74</v>
      </c>
      <c r="AE956" t="s">
        <v>74</v>
      </c>
      <c r="AF956" t="s">
        <v>74</v>
      </c>
      <c r="AG956">
        <v>23</v>
      </c>
      <c r="AH956">
        <v>33</v>
      </c>
      <c r="AI956">
        <v>37</v>
      </c>
      <c r="AJ956">
        <v>0</v>
      </c>
      <c r="AK956">
        <v>10</v>
      </c>
      <c r="AL956" t="s">
        <v>1029</v>
      </c>
      <c r="AM956" t="s">
        <v>1030</v>
      </c>
      <c r="AN956" t="s">
        <v>1031</v>
      </c>
      <c r="AO956" t="s">
        <v>11511</v>
      </c>
      <c r="AP956" t="s">
        <v>74</v>
      </c>
      <c r="AQ956" t="s">
        <v>74</v>
      </c>
      <c r="AR956" t="s">
        <v>11512</v>
      </c>
      <c r="AS956" t="s">
        <v>11513</v>
      </c>
      <c r="AT956" t="s">
        <v>11514</v>
      </c>
      <c r="AU956">
        <v>1997</v>
      </c>
      <c r="AV956">
        <v>152</v>
      </c>
      <c r="AW956">
        <v>2</v>
      </c>
      <c r="AX956" t="s">
        <v>74</v>
      </c>
      <c r="AY956" t="s">
        <v>74</v>
      </c>
      <c r="AZ956" t="s">
        <v>74</v>
      </c>
      <c r="BA956" t="s">
        <v>74</v>
      </c>
      <c r="BB956">
        <v>349</v>
      </c>
      <c r="BC956">
        <v>354</v>
      </c>
      <c r="BD956" t="s">
        <v>74</v>
      </c>
      <c r="BE956" t="s">
        <v>11515</v>
      </c>
      <c r="BF956" t="str">
        <f>HYPERLINK("http://dx.doi.org/10.1111/j.1574-6968.1997.tb10451.x","http://dx.doi.org/10.1111/j.1574-6968.1997.tb10451.x")</f>
        <v>http://dx.doi.org/10.1111/j.1574-6968.1997.tb10451.x</v>
      </c>
      <c r="BG956" t="s">
        <v>74</v>
      </c>
      <c r="BH956" t="s">
        <v>74</v>
      </c>
      <c r="BI956">
        <v>6</v>
      </c>
      <c r="BJ956" t="s">
        <v>1223</v>
      </c>
      <c r="BK956" t="s">
        <v>98</v>
      </c>
      <c r="BL956" t="s">
        <v>1223</v>
      </c>
      <c r="BM956" t="s">
        <v>11516</v>
      </c>
      <c r="BN956" t="s">
        <v>74</v>
      </c>
      <c r="BO956" t="s">
        <v>100</v>
      </c>
      <c r="BP956" t="s">
        <v>74</v>
      </c>
      <c r="BQ956" t="s">
        <v>74</v>
      </c>
      <c r="BR956" t="s">
        <v>101</v>
      </c>
      <c r="BS956" t="s">
        <v>11517</v>
      </c>
      <c r="BT956" t="str">
        <f>HYPERLINK("https%3A%2F%2Fwww.webofscience.com%2Fwos%2Fwoscc%2Ffull-record%2FWOS:A1997XL00800024","View Full Record in Web of Science")</f>
        <v>View Full Record in Web of Science</v>
      </c>
    </row>
    <row r="957" spans="1:72" x14ac:dyDescent="0.15">
      <c r="A957" t="s">
        <v>72</v>
      </c>
      <c r="B957" t="s">
        <v>11518</v>
      </c>
      <c r="C957" t="s">
        <v>74</v>
      </c>
      <c r="D957" t="s">
        <v>74</v>
      </c>
      <c r="E957" t="s">
        <v>74</v>
      </c>
      <c r="F957" t="s">
        <v>11518</v>
      </c>
      <c r="G957" t="s">
        <v>74</v>
      </c>
      <c r="H957" t="s">
        <v>74</v>
      </c>
      <c r="I957" t="s">
        <v>11519</v>
      </c>
      <c r="J957" t="s">
        <v>76</v>
      </c>
      <c r="K957" t="s">
        <v>74</v>
      </c>
      <c r="L957" t="s">
        <v>74</v>
      </c>
      <c r="M957" t="s">
        <v>77</v>
      </c>
      <c r="N957" t="s">
        <v>78</v>
      </c>
      <c r="O957" t="s">
        <v>74</v>
      </c>
      <c r="P957" t="s">
        <v>74</v>
      </c>
      <c r="Q957" t="s">
        <v>74</v>
      </c>
      <c r="R957" t="s">
        <v>74</v>
      </c>
      <c r="S957" t="s">
        <v>74</v>
      </c>
      <c r="T957" t="s">
        <v>74</v>
      </c>
      <c r="U957" t="s">
        <v>11520</v>
      </c>
      <c r="V957" t="s">
        <v>11521</v>
      </c>
      <c r="W957" t="s">
        <v>11522</v>
      </c>
      <c r="X957" t="s">
        <v>8784</v>
      </c>
      <c r="Y957" t="s">
        <v>11523</v>
      </c>
      <c r="Z957" t="s">
        <v>74</v>
      </c>
      <c r="AA957" t="s">
        <v>74</v>
      </c>
      <c r="AB957" t="s">
        <v>74</v>
      </c>
      <c r="AC957" t="s">
        <v>74</v>
      </c>
      <c r="AD957" t="s">
        <v>74</v>
      </c>
      <c r="AE957" t="s">
        <v>74</v>
      </c>
      <c r="AF957" t="s">
        <v>74</v>
      </c>
      <c r="AG957">
        <v>15</v>
      </c>
      <c r="AH957">
        <v>36</v>
      </c>
      <c r="AI957">
        <v>37</v>
      </c>
      <c r="AJ957">
        <v>0</v>
      </c>
      <c r="AK957">
        <v>4</v>
      </c>
      <c r="AL957" t="s">
        <v>87</v>
      </c>
      <c r="AM957" t="s">
        <v>88</v>
      </c>
      <c r="AN957" t="s">
        <v>7533</v>
      </c>
      <c r="AO957" t="s">
        <v>74</v>
      </c>
      <c r="AP957" t="s">
        <v>74</v>
      </c>
      <c r="AQ957" t="s">
        <v>74</v>
      </c>
      <c r="AR957" t="s">
        <v>92</v>
      </c>
      <c r="AS957" t="s">
        <v>93</v>
      </c>
      <c r="AT957" t="s">
        <v>11514</v>
      </c>
      <c r="AU957">
        <v>1997</v>
      </c>
      <c r="AV957">
        <v>102</v>
      </c>
      <c r="AW957" t="s">
        <v>11524</v>
      </c>
      <c r="AX957" t="s">
        <v>74</v>
      </c>
      <c r="AY957" t="s">
        <v>74</v>
      </c>
      <c r="AZ957" t="s">
        <v>74</v>
      </c>
      <c r="BA957" t="s">
        <v>74</v>
      </c>
      <c r="BB957">
        <v>15639</v>
      </c>
      <c r="BC957">
        <v>15646</v>
      </c>
      <c r="BD957" t="s">
        <v>74</v>
      </c>
      <c r="BE957" t="s">
        <v>11525</v>
      </c>
      <c r="BF957" t="str">
        <f>HYPERLINK("http://dx.doi.org/10.1029/97JC00591","http://dx.doi.org/10.1029/97JC00591")</f>
        <v>http://dx.doi.org/10.1029/97JC00591</v>
      </c>
      <c r="BG957" t="s">
        <v>74</v>
      </c>
      <c r="BH957" t="s">
        <v>74</v>
      </c>
      <c r="BI957">
        <v>8</v>
      </c>
      <c r="BJ957" t="s">
        <v>97</v>
      </c>
      <c r="BK957" t="s">
        <v>98</v>
      </c>
      <c r="BL957" t="s">
        <v>97</v>
      </c>
      <c r="BM957" t="s">
        <v>11526</v>
      </c>
      <c r="BN957" t="s">
        <v>74</v>
      </c>
      <c r="BO957" t="s">
        <v>100</v>
      </c>
      <c r="BP957" t="s">
        <v>74</v>
      </c>
      <c r="BQ957" t="s">
        <v>74</v>
      </c>
      <c r="BR957" t="s">
        <v>101</v>
      </c>
      <c r="BS957" t="s">
        <v>11527</v>
      </c>
      <c r="BT957" t="str">
        <f>HYPERLINK("https%3A%2F%2Fwww.webofscience.com%2Fwos%2Fwoscc%2Ffull-record%2FWOS:A1997XL45200007","View Full Record in Web of Science")</f>
        <v>View Full Record in Web of Science</v>
      </c>
    </row>
    <row r="958" spans="1:72" x14ac:dyDescent="0.15">
      <c r="A958" t="s">
        <v>72</v>
      </c>
      <c r="B958" t="s">
        <v>11528</v>
      </c>
      <c r="C958" t="s">
        <v>74</v>
      </c>
      <c r="D958" t="s">
        <v>74</v>
      </c>
      <c r="E958" t="s">
        <v>74</v>
      </c>
      <c r="F958" t="s">
        <v>11528</v>
      </c>
      <c r="G958" t="s">
        <v>74</v>
      </c>
      <c r="H958" t="s">
        <v>74</v>
      </c>
      <c r="I958" t="s">
        <v>11529</v>
      </c>
      <c r="J958" t="s">
        <v>76</v>
      </c>
      <c r="K958" t="s">
        <v>74</v>
      </c>
      <c r="L958" t="s">
        <v>74</v>
      </c>
      <c r="M958" t="s">
        <v>77</v>
      </c>
      <c r="N958" t="s">
        <v>78</v>
      </c>
      <c r="O958" t="s">
        <v>74</v>
      </c>
      <c r="P958" t="s">
        <v>74</v>
      </c>
      <c r="Q958" t="s">
        <v>74</v>
      </c>
      <c r="R958" t="s">
        <v>74</v>
      </c>
      <c r="S958" t="s">
        <v>74</v>
      </c>
      <c r="T958" t="s">
        <v>74</v>
      </c>
      <c r="U958" t="s">
        <v>11530</v>
      </c>
      <c r="V958" t="s">
        <v>11531</v>
      </c>
      <c r="W958" t="s">
        <v>11532</v>
      </c>
      <c r="X958" t="s">
        <v>3151</v>
      </c>
      <c r="Y958" t="s">
        <v>11533</v>
      </c>
      <c r="Z958" t="s">
        <v>74</v>
      </c>
      <c r="AA958" t="s">
        <v>11534</v>
      </c>
      <c r="AB958" t="s">
        <v>11535</v>
      </c>
      <c r="AC958" t="s">
        <v>74</v>
      </c>
      <c r="AD958" t="s">
        <v>74</v>
      </c>
      <c r="AE958" t="s">
        <v>74</v>
      </c>
      <c r="AF958" t="s">
        <v>74</v>
      </c>
      <c r="AG958">
        <v>72</v>
      </c>
      <c r="AH958">
        <v>54</v>
      </c>
      <c r="AI958">
        <v>58</v>
      </c>
      <c r="AJ958">
        <v>0</v>
      </c>
      <c r="AK958">
        <v>4</v>
      </c>
      <c r="AL958" t="s">
        <v>87</v>
      </c>
      <c r="AM958" t="s">
        <v>88</v>
      </c>
      <c r="AN958" t="s">
        <v>7533</v>
      </c>
      <c r="AO958" t="s">
        <v>74</v>
      </c>
      <c r="AP958" t="s">
        <v>74</v>
      </c>
      <c r="AQ958" t="s">
        <v>74</v>
      </c>
      <c r="AR958" t="s">
        <v>92</v>
      </c>
      <c r="AS958" t="s">
        <v>93</v>
      </c>
      <c r="AT958" t="s">
        <v>11514</v>
      </c>
      <c r="AU958">
        <v>1997</v>
      </c>
      <c r="AV958">
        <v>102</v>
      </c>
      <c r="AW958" t="s">
        <v>11524</v>
      </c>
      <c r="AX958" t="s">
        <v>74</v>
      </c>
      <c r="AY958" t="s">
        <v>74</v>
      </c>
      <c r="AZ958" t="s">
        <v>74</v>
      </c>
      <c r="BA958" t="s">
        <v>74</v>
      </c>
      <c r="BB958">
        <v>15709</v>
      </c>
      <c r="BC958">
        <v>15731</v>
      </c>
      <c r="BD958" t="s">
        <v>74</v>
      </c>
      <c r="BE958" t="s">
        <v>11536</v>
      </c>
      <c r="BF958" t="str">
        <f>HYPERLINK("http://dx.doi.org/10.1029/97JC00438","http://dx.doi.org/10.1029/97JC00438")</f>
        <v>http://dx.doi.org/10.1029/97JC00438</v>
      </c>
      <c r="BG958" t="s">
        <v>74</v>
      </c>
      <c r="BH958" t="s">
        <v>74</v>
      </c>
      <c r="BI958">
        <v>23</v>
      </c>
      <c r="BJ958" t="s">
        <v>97</v>
      </c>
      <c r="BK958" t="s">
        <v>98</v>
      </c>
      <c r="BL958" t="s">
        <v>97</v>
      </c>
      <c r="BM958" t="s">
        <v>11526</v>
      </c>
      <c r="BN958" t="s">
        <v>74</v>
      </c>
      <c r="BO958" t="s">
        <v>100</v>
      </c>
      <c r="BP958" t="s">
        <v>74</v>
      </c>
      <c r="BQ958" t="s">
        <v>74</v>
      </c>
      <c r="BR958" t="s">
        <v>101</v>
      </c>
      <c r="BS958" t="s">
        <v>11537</v>
      </c>
      <c r="BT958" t="str">
        <f>HYPERLINK("https%3A%2F%2Fwww.webofscience.com%2Fwos%2Fwoscc%2Ffull-record%2FWOS:A1997XL45200013","View Full Record in Web of Science")</f>
        <v>View Full Record in Web of Science</v>
      </c>
    </row>
    <row r="959" spans="1:72" x14ac:dyDescent="0.15">
      <c r="A959" t="s">
        <v>72</v>
      </c>
      <c r="B959" t="s">
        <v>11538</v>
      </c>
      <c r="C959" t="s">
        <v>74</v>
      </c>
      <c r="D959" t="s">
        <v>74</v>
      </c>
      <c r="E959" t="s">
        <v>74</v>
      </c>
      <c r="F959" t="s">
        <v>11538</v>
      </c>
      <c r="G959" t="s">
        <v>74</v>
      </c>
      <c r="H959" t="s">
        <v>74</v>
      </c>
      <c r="I959" t="s">
        <v>11539</v>
      </c>
      <c r="J959" t="s">
        <v>6882</v>
      </c>
      <c r="K959" t="s">
        <v>74</v>
      </c>
      <c r="L959" t="s">
        <v>74</v>
      </c>
      <c r="M959" t="s">
        <v>77</v>
      </c>
      <c r="N959" t="s">
        <v>78</v>
      </c>
      <c r="O959" t="s">
        <v>74</v>
      </c>
      <c r="P959" t="s">
        <v>74</v>
      </c>
      <c r="Q959" t="s">
        <v>74</v>
      </c>
      <c r="R959" t="s">
        <v>74</v>
      </c>
      <c r="S959" t="s">
        <v>74</v>
      </c>
      <c r="T959" t="s">
        <v>74</v>
      </c>
      <c r="U959" t="s">
        <v>11540</v>
      </c>
      <c r="V959" t="s">
        <v>11541</v>
      </c>
      <c r="W959" t="s">
        <v>11542</v>
      </c>
      <c r="X959" t="s">
        <v>11543</v>
      </c>
      <c r="Y959" t="s">
        <v>74</v>
      </c>
      <c r="Z959" t="s">
        <v>74</v>
      </c>
      <c r="AA959" t="s">
        <v>74</v>
      </c>
      <c r="AB959" t="s">
        <v>74</v>
      </c>
      <c r="AC959" t="s">
        <v>74</v>
      </c>
      <c r="AD959" t="s">
        <v>74</v>
      </c>
      <c r="AE959" t="s">
        <v>74</v>
      </c>
      <c r="AF959" t="s">
        <v>74</v>
      </c>
      <c r="AG959">
        <v>18</v>
      </c>
      <c r="AH959">
        <v>18</v>
      </c>
      <c r="AI959">
        <v>20</v>
      </c>
      <c r="AJ959">
        <v>0</v>
      </c>
      <c r="AK959">
        <v>3</v>
      </c>
      <c r="AL959" t="s">
        <v>1029</v>
      </c>
      <c r="AM959" t="s">
        <v>1030</v>
      </c>
      <c r="AN959" t="s">
        <v>1031</v>
      </c>
      <c r="AO959" t="s">
        <v>6889</v>
      </c>
      <c r="AP959" t="s">
        <v>74</v>
      </c>
      <c r="AQ959" t="s">
        <v>74</v>
      </c>
      <c r="AR959" t="s">
        <v>6890</v>
      </c>
      <c r="AS959" t="s">
        <v>6891</v>
      </c>
      <c r="AT959" t="s">
        <v>11544</v>
      </c>
      <c r="AU959">
        <v>1997</v>
      </c>
      <c r="AV959">
        <v>273</v>
      </c>
      <c r="AW959" t="s">
        <v>4809</v>
      </c>
      <c r="AX959" t="s">
        <v>74</v>
      </c>
      <c r="AY959" t="s">
        <v>74</v>
      </c>
      <c r="AZ959" t="s">
        <v>74</v>
      </c>
      <c r="BA959" t="s">
        <v>74</v>
      </c>
      <c r="BB959">
        <v>31</v>
      </c>
      <c r="BC959">
        <v>36</v>
      </c>
      <c r="BD959" t="s">
        <v>74</v>
      </c>
      <c r="BE959" t="s">
        <v>11545</v>
      </c>
      <c r="BF959" t="str">
        <f>HYPERLINK("http://dx.doi.org/10.1016/S0009-2614(97)00590-3","http://dx.doi.org/10.1016/S0009-2614(97)00590-3")</f>
        <v>http://dx.doi.org/10.1016/S0009-2614(97)00590-3</v>
      </c>
      <c r="BG959" t="s">
        <v>74</v>
      </c>
      <c r="BH959" t="s">
        <v>74</v>
      </c>
      <c r="BI959">
        <v>6</v>
      </c>
      <c r="BJ959" t="s">
        <v>1052</v>
      </c>
      <c r="BK959" t="s">
        <v>98</v>
      </c>
      <c r="BL959" t="s">
        <v>1053</v>
      </c>
      <c r="BM959" t="s">
        <v>11546</v>
      </c>
      <c r="BN959" t="s">
        <v>74</v>
      </c>
      <c r="BO959" t="s">
        <v>74</v>
      </c>
      <c r="BP959" t="s">
        <v>74</v>
      </c>
      <c r="BQ959" t="s">
        <v>74</v>
      </c>
      <c r="BR959" t="s">
        <v>101</v>
      </c>
      <c r="BS959" t="s">
        <v>11547</v>
      </c>
      <c r="BT959" t="str">
        <f>HYPERLINK("https%3A%2F%2Fwww.webofscience.com%2Fwos%2Fwoscc%2Ffull-record%2FWOS:A1997XK95000005","View Full Record in Web of Science")</f>
        <v>View Full Record in Web of Science</v>
      </c>
    </row>
    <row r="960" spans="1:72" x14ac:dyDescent="0.15">
      <c r="A960" t="s">
        <v>72</v>
      </c>
      <c r="B960" t="s">
        <v>11548</v>
      </c>
      <c r="C960" t="s">
        <v>74</v>
      </c>
      <c r="D960" t="s">
        <v>74</v>
      </c>
      <c r="E960" t="s">
        <v>74</v>
      </c>
      <c r="F960" t="s">
        <v>11548</v>
      </c>
      <c r="G960" t="s">
        <v>74</v>
      </c>
      <c r="H960" t="s">
        <v>74</v>
      </c>
      <c r="I960" t="s">
        <v>11549</v>
      </c>
      <c r="J960" t="s">
        <v>127</v>
      </c>
      <c r="K960" t="s">
        <v>74</v>
      </c>
      <c r="L960" t="s">
        <v>74</v>
      </c>
      <c r="M960" t="s">
        <v>77</v>
      </c>
      <c r="N960" t="s">
        <v>78</v>
      </c>
      <c r="O960" t="s">
        <v>74</v>
      </c>
      <c r="P960" t="s">
        <v>74</v>
      </c>
      <c r="Q960" t="s">
        <v>74</v>
      </c>
      <c r="R960" t="s">
        <v>74</v>
      </c>
      <c r="S960" t="s">
        <v>74</v>
      </c>
      <c r="T960" t="s">
        <v>74</v>
      </c>
      <c r="U960" t="s">
        <v>11550</v>
      </c>
      <c r="V960" t="s">
        <v>11551</v>
      </c>
      <c r="W960" t="s">
        <v>11552</v>
      </c>
      <c r="X960" t="s">
        <v>11553</v>
      </c>
      <c r="Y960" t="s">
        <v>74</v>
      </c>
      <c r="Z960" t="s">
        <v>74</v>
      </c>
      <c r="AA960" t="s">
        <v>74</v>
      </c>
      <c r="AB960" t="s">
        <v>74</v>
      </c>
      <c r="AC960" t="s">
        <v>74</v>
      </c>
      <c r="AD960" t="s">
        <v>74</v>
      </c>
      <c r="AE960" t="s">
        <v>74</v>
      </c>
      <c r="AF960" t="s">
        <v>74</v>
      </c>
      <c r="AG960">
        <v>69</v>
      </c>
      <c r="AH960">
        <v>85</v>
      </c>
      <c r="AI960">
        <v>91</v>
      </c>
      <c r="AJ960">
        <v>1</v>
      </c>
      <c r="AK960">
        <v>16</v>
      </c>
      <c r="AL960" t="s">
        <v>87</v>
      </c>
      <c r="AM960" t="s">
        <v>88</v>
      </c>
      <c r="AN960" t="s">
        <v>89</v>
      </c>
      <c r="AO960" t="s">
        <v>136</v>
      </c>
      <c r="AP960" t="s">
        <v>137</v>
      </c>
      <c r="AQ960" t="s">
        <v>74</v>
      </c>
      <c r="AR960" t="s">
        <v>138</v>
      </c>
      <c r="AS960" t="s">
        <v>139</v>
      </c>
      <c r="AT960" t="s">
        <v>11554</v>
      </c>
      <c r="AU960">
        <v>1997</v>
      </c>
      <c r="AV960">
        <v>102</v>
      </c>
      <c r="AW960" t="s">
        <v>11555</v>
      </c>
      <c r="AX960" t="s">
        <v>74</v>
      </c>
      <c r="AY960" t="s">
        <v>74</v>
      </c>
      <c r="AZ960" t="s">
        <v>74</v>
      </c>
      <c r="BA960" t="s">
        <v>74</v>
      </c>
      <c r="BB960">
        <v>15039</v>
      </c>
      <c r="BC960">
        <v>15055</v>
      </c>
      <c r="BD960" t="s">
        <v>74</v>
      </c>
      <c r="BE960" t="s">
        <v>11556</v>
      </c>
      <c r="BF960" t="str">
        <f>HYPERLINK("http://dx.doi.org/10.1029/97JB00155","http://dx.doi.org/10.1029/97JB00155")</f>
        <v>http://dx.doi.org/10.1029/97JB00155</v>
      </c>
      <c r="BG960" t="s">
        <v>74</v>
      </c>
      <c r="BH960" t="s">
        <v>74</v>
      </c>
      <c r="BI960">
        <v>17</v>
      </c>
      <c r="BJ960" t="s">
        <v>143</v>
      </c>
      <c r="BK960" t="s">
        <v>98</v>
      </c>
      <c r="BL960" t="s">
        <v>143</v>
      </c>
      <c r="BM960" t="s">
        <v>11557</v>
      </c>
      <c r="BN960" t="s">
        <v>74</v>
      </c>
      <c r="BO960" t="s">
        <v>100</v>
      </c>
      <c r="BP960" t="s">
        <v>74</v>
      </c>
      <c r="BQ960" t="s">
        <v>74</v>
      </c>
      <c r="BR960" t="s">
        <v>101</v>
      </c>
      <c r="BS960" t="s">
        <v>11558</v>
      </c>
      <c r="BT960" t="str">
        <f>HYPERLINK("https%3A%2F%2Fwww.webofscience.com%2Fwos%2Fwoscc%2Ffull-record%2FWOS:A1997XJ83100018","View Full Record in Web of Science")</f>
        <v>View Full Record in Web of Science</v>
      </c>
    </row>
    <row r="961" spans="1:72" x14ac:dyDescent="0.15">
      <c r="A961" t="s">
        <v>72</v>
      </c>
      <c r="B961" t="s">
        <v>11559</v>
      </c>
      <c r="C961" t="s">
        <v>74</v>
      </c>
      <c r="D961" t="s">
        <v>74</v>
      </c>
      <c r="E961" t="s">
        <v>74</v>
      </c>
      <c r="F961" t="s">
        <v>11559</v>
      </c>
      <c r="G961" t="s">
        <v>74</v>
      </c>
      <c r="H961" t="s">
        <v>74</v>
      </c>
      <c r="I961" t="s">
        <v>11560</v>
      </c>
      <c r="J961" t="s">
        <v>127</v>
      </c>
      <c r="K961" t="s">
        <v>74</v>
      </c>
      <c r="L961" t="s">
        <v>74</v>
      </c>
      <c r="M961" t="s">
        <v>77</v>
      </c>
      <c r="N961" t="s">
        <v>78</v>
      </c>
      <c r="O961" t="s">
        <v>74</v>
      </c>
      <c r="P961" t="s">
        <v>74</v>
      </c>
      <c r="Q961" t="s">
        <v>74</v>
      </c>
      <c r="R961" t="s">
        <v>74</v>
      </c>
      <c r="S961" t="s">
        <v>74</v>
      </c>
      <c r="T961" t="s">
        <v>74</v>
      </c>
      <c r="U961" t="s">
        <v>11561</v>
      </c>
      <c r="V961" t="s">
        <v>11562</v>
      </c>
      <c r="W961" t="s">
        <v>11563</v>
      </c>
      <c r="X961" t="s">
        <v>11564</v>
      </c>
      <c r="Y961" t="s">
        <v>11565</v>
      </c>
      <c r="Z961" t="s">
        <v>74</v>
      </c>
      <c r="AA961" t="s">
        <v>74</v>
      </c>
      <c r="AB961" t="s">
        <v>74</v>
      </c>
      <c r="AC961" t="s">
        <v>74</v>
      </c>
      <c r="AD961" t="s">
        <v>74</v>
      </c>
      <c r="AE961" t="s">
        <v>74</v>
      </c>
      <c r="AF961" t="s">
        <v>74</v>
      </c>
      <c r="AG961">
        <v>55</v>
      </c>
      <c r="AH961">
        <v>64</v>
      </c>
      <c r="AI961">
        <v>72</v>
      </c>
      <c r="AJ961">
        <v>0</v>
      </c>
      <c r="AK961">
        <v>6</v>
      </c>
      <c r="AL961" t="s">
        <v>87</v>
      </c>
      <c r="AM961" t="s">
        <v>88</v>
      </c>
      <c r="AN961" t="s">
        <v>89</v>
      </c>
      <c r="AO961" t="s">
        <v>136</v>
      </c>
      <c r="AP961" t="s">
        <v>137</v>
      </c>
      <c r="AQ961" t="s">
        <v>74</v>
      </c>
      <c r="AR961" t="s">
        <v>138</v>
      </c>
      <c r="AS961" t="s">
        <v>139</v>
      </c>
      <c r="AT961" t="s">
        <v>11554</v>
      </c>
      <c r="AU961">
        <v>1997</v>
      </c>
      <c r="AV961">
        <v>102</v>
      </c>
      <c r="AW961" t="s">
        <v>11555</v>
      </c>
      <c r="AX961" t="s">
        <v>74</v>
      </c>
      <c r="AY961" t="s">
        <v>74</v>
      </c>
      <c r="AZ961" t="s">
        <v>74</v>
      </c>
      <c r="BA961" t="s">
        <v>74</v>
      </c>
      <c r="BB961">
        <v>15463</v>
      </c>
      <c r="BC961">
        <v>15487</v>
      </c>
      <c r="BD961" t="s">
        <v>74</v>
      </c>
      <c r="BE961" t="s">
        <v>11566</v>
      </c>
      <c r="BF961" t="str">
        <f>HYPERLINK("http://dx.doi.org/10.1029/97JB00511","http://dx.doi.org/10.1029/97JB00511")</f>
        <v>http://dx.doi.org/10.1029/97JB00511</v>
      </c>
      <c r="BG961" t="s">
        <v>74</v>
      </c>
      <c r="BH961" t="s">
        <v>74</v>
      </c>
      <c r="BI961">
        <v>25</v>
      </c>
      <c r="BJ961" t="s">
        <v>143</v>
      </c>
      <c r="BK961" t="s">
        <v>98</v>
      </c>
      <c r="BL961" t="s">
        <v>143</v>
      </c>
      <c r="BM961" t="s">
        <v>11557</v>
      </c>
      <c r="BN961" t="s">
        <v>74</v>
      </c>
      <c r="BO961" t="s">
        <v>509</v>
      </c>
      <c r="BP961" t="s">
        <v>74</v>
      </c>
      <c r="BQ961" t="s">
        <v>74</v>
      </c>
      <c r="BR961" t="s">
        <v>101</v>
      </c>
      <c r="BS961" t="s">
        <v>11567</v>
      </c>
      <c r="BT961" t="str">
        <f>HYPERLINK("https%3A%2F%2Fwww.webofscience.com%2Fwos%2Fwoscc%2Ffull-record%2FWOS:A1997XJ83100047","View Full Record in Web of Science")</f>
        <v>View Full Record in Web of Science</v>
      </c>
    </row>
    <row r="962" spans="1:72" x14ac:dyDescent="0.15">
      <c r="A962" t="s">
        <v>72</v>
      </c>
      <c r="B962" t="s">
        <v>11568</v>
      </c>
      <c r="C962" t="s">
        <v>74</v>
      </c>
      <c r="D962" t="s">
        <v>74</v>
      </c>
      <c r="E962" t="s">
        <v>74</v>
      </c>
      <c r="F962" t="s">
        <v>11568</v>
      </c>
      <c r="G962" t="s">
        <v>74</v>
      </c>
      <c r="H962" t="s">
        <v>74</v>
      </c>
      <c r="I962" t="s">
        <v>11569</v>
      </c>
      <c r="J962" t="s">
        <v>127</v>
      </c>
      <c r="K962" t="s">
        <v>74</v>
      </c>
      <c r="L962" t="s">
        <v>74</v>
      </c>
      <c r="M962" t="s">
        <v>77</v>
      </c>
      <c r="N962" t="s">
        <v>78</v>
      </c>
      <c r="O962" t="s">
        <v>74</v>
      </c>
      <c r="P962" t="s">
        <v>74</v>
      </c>
      <c r="Q962" t="s">
        <v>74</v>
      </c>
      <c r="R962" t="s">
        <v>74</v>
      </c>
      <c r="S962" t="s">
        <v>74</v>
      </c>
      <c r="T962" t="s">
        <v>74</v>
      </c>
      <c r="U962" t="s">
        <v>11570</v>
      </c>
      <c r="V962" t="s">
        <v>11571</v>
      </c>
      <c r="W962" t="s">
        <v>11572</v>
      </c>
      <c r="X962" t="s">
        <v>11573</v>
      </c>
      <c r="Y962" t="s">
        <v>11574</v>
      </c>
      <c r="Z962" t="s">
        <v>74</v>
      </c>
      <c r="AA962" t="s">
        <v>74</v>
      </c>
      <c r="AB962" t="s">
        <v>74</v>
      </c>
      <c r="AC962" t="s">
        <v>74</v>
      </c>
      <c r="AD962" t="s">
        <v>74</v>
      </c>
      <c r="AE962" t="s">
        <v>74</v>
      </c>
      <c r="AF962" t="s">
        <v>74</v>
      </c>
      <c r="AG962">
        <v>46</v>
      </c>
      <c r="AH962">
        <v>58</v>
      </c>
      <c r="AI962">
        <v>62</v>
      </c>
      <c r="AJ962">
        <v>0</v>
      </c>
      <c r="AK962">
        <v>5</v>
      </c>
      <c r="AL962" t="s">
        <v>87</v>
      </c>
      <c r="AM962" t="s">
        <v>88</v>
      </c>
      <c r="AN962" t="s">
        <v>89</v>
      </c>
      <c r="AO962" t="s">
        <v>136</v>
      </c>
      <c r="AP962" t="s">
        <v>137</v>
      </c>
      <c r="AQ962" t="s">
        <v>74</v>
      </c>
      <c r="AR962" t="s">
        <v>138</v>
      </c>
      <c r="AS962" t="s">
        <v>139</v>
      </c>
      <c r="AT962" t="s">
        <v>11554</v>
      </c>
      <c r="AU962">
        <v>1997</v>
      </c>
      <c r="AV962">
        <v>102</v>
      </c>
      <c r="AW962" t="s">
        <v>11555</v>
      </c>
      <c r="AX962" t="s">
        <v>74</v>
      </c>
      <c r="AY962" t="s">
        <v>74</v>
      </c>
      <c r="AZ962" t="s">
        <v>74</v>
      </c>
      <c r="BA962" t="s">
        <v>74</v>
      </c>
      <c r="BB962">
        <v>15489</v>
      </c>
      <c r="BC962">
        <v>15505</v>
      </c>
      <c r="BD962" t="s">
        <v>74</v>
      </c>
      <c r="BE962" t="s">
        <v>11575</v>
      </c>
      <c r="BF962" t="str">
        <f>HYPERLINK("http://dx.doi.org/10.1029/97JB00171","http://dx.doi.org/10.1029/97JB00171")</f>
        <v>http://dx.doi.org/10.1029/97JB00171</v>
      </c>
      <c r="BG962" t="s">
        <v>74</v>
      </c>
      <c r="BH962" t="s">
        <v>74</v>
      </c>
      <c r="BI962">
        <v>17</v>
      </c>
      <c r="BJ962" t="s">
        <v>143</v>
      </c>
      <c r="BK962" t="s">
        <v>98</v>
      </c>
      <c r="BL962" t="s">
        <v>143</v>
      </c>
      <c r="BM962" t="s">
        <v>11557</v>
      </c>
      <c r="BN962" t="s">
        <v>74</v>
      </c>
      <c r="BO962" t="s">
        <v>7968</v>
      </c>
      <c r="BP962" t="s">
        <v>74</v>
      </c>
      <c r="BQ962" t="s">
        <v>74</v>
      </c>
      <c r="BR962" t="s">
        <v>101</v>
      </c>
      <c r="BS962" t="s">
        <v>11576</v>
      </c>
      <c r="BT962" t="str">
        <f>HYPERLINK("https%3A%2F%2Fwww.webofscience.com%2Fwos%2Fwoscc%2Ffull-record%2FWOS:A1997XJ83100048","View Full Record in Web of Science")</f>
        <v>View Full Record in Web of Science</v>
      </c>
    </row>
    <row r="963" spans="1:72" x14ac:dyDescent="0.15">
      <c r="A963" t="s">
        <v>72</v>
      </c>
      <c r="B963" t="s">
        <v>2490</v>
      </c>
      <c r="C963" t="s">
        <v>74</v>
      </c>
      <c r="D963" t="s">
        <v>74</v>
      </c>
      <c r="E963" t="s">
        <v>74</v>
      </c>
      <c r="F963" t="s">
        <v>2490</v>
      </c>
      <c r="G963" t="s">
        <v>74</v>
      </c>
      <c r="H963" t="s">
        <v>74</v>
      </c>
      <c r="I963" t="s">
        <v>11577</v>
      </c>
      <c r="J963" t="s">
        <v>2492</v>
      </c>
      <c r="K963" t="s">
        <v>74</v>
      </c>
      <c r="L963" t="s">
        <v>74</v>
      </c>
      <c r="M963" t="s">
        <v>77</v>
      </c>
      <c r="N963" t="s">
        <v>78</v>
      </c>
      <c r="O963" t="s">
        <v>74</v>
      </c>
      <c r="P963" t="s">
        <v>74</v>
      </c>
      <c r="Q963" t="s">
        <v>74</v>
      </c>
      <c r="R963" t="s">
        <v>74</v>
      </c>
      <c r="S963" t="s">
        <v>74</v>
      </c>
      <c r="T963" t="s">
        <v>74</v>
      </c>
      <c r="U963" t="s">
        <v>11578</v>
      </c>
      <c r="V963" t="s">
        <v>11579</v>
      </c>
      <c r="W963" t="s">
        <v>11580</v>
      </c>
      <c r="X963" t="s">
        <v>1155</v>
      </c>
      <c r="Y963" t="s">
        <v>11581</v>
      </c>
      <c r="Z963" t="s">
        <v>74</v>
      </c>
      <c r="AA963" t="s">
        <v>74</v>
      </c>
      <c r="AB963" t="s">
        <v>74</v>
      </c>
      <c r="AC963" t="s">
        <v>74</v>
      </c>
      <c r="AD963" t="s">
        <v>74</v>
      </c>
      <c r="AE963" t="s">
        <v>74</v>
      </c>
      <c r="AF963" t="s">
        <v>74</v>
      </c>
      <c r="AG963">
        <v>21</v>
      </c>
      <c r="AH963">
        <v>19</v>
      </c>
      <c r="AI963">
        <v>22</v>
      </c>
      <c r="AJ963">
        <v>0</v>
      </c>
      <c r="AK963">
        <v>1</v>
      </c>
      <c r="AL963" t="s">
        <v>2496</v>
      </c>
      <c r="AM963" t="s">
        <v>2497</v>
      </c>
      <c r="AN963" t="s">
        <v>2498</v>
      </c>
      <c r="AO963" t="s">
        <v>2499</v>
      </c>
      <c r="AP963" t="s">
        <v>74</v>
      </c>
      <c r="AQ963" t="s">
        <v>74</v>
      </c>
      <c r="AR963" t="s">
        <v>2500</v>
      </c>
      <c r="AS963" t="s">
        <v>2501</v>
      </c>
      <c r="AT963" t="s">
        <v>11582</v>
      </c>
      <c r="AU963">
        <v>1997</v>
      </c>
      <c r="AV963">
        <v>42</v>
      </c>
      <c r="AW963">
        <v>3</v>
      </c>
      <c r="AX963" t="s">
        <v>74</v>
      </c>
      <c r="AY963" t="s">
        <v>74</v>
      </c>
      <c r="AZ963" t="s">
        <v>74</v>
      </c>
      <c r="BA963" t="s">
        <v>74</v>
      </c>
      <c r="BB963">
        <v>138</v>
      </c>
      <c r="BC963">
        <v>143</v>
      </c>
      <c r="BD963" t="s">
        <v>74</v>
      </c>
      <c r="BE963" t="s">
        <v>74</v>
      </c>
      <c r="BF963" t="s">
        <v>74</v>
      </c>
      <c r="BG963" t="s">
        <v>74</v>
      </c>
      <c r="BH963" t="s">
        <v>74</v>
      </c>
      <c r="BI963">
        <v>6</v>
      </c>
      <c r="BJ963" t="s">
        <v>2503</v>
      </c>
      <c r="BK963" t="s">
        <v>98</v>
      </c>
      <c r="BL963" t="s">
        <v>2503</v>
      </c>
      <c r="BM963" t="s">
        <v>11583</v>
      </c>
      <c r="BN963" t="s">
        <v>74</v>
      </c>
      <c r="BO963" t="s">
        <v>74</v>
      </c>
      <c r="BP963" t="s">
        <v>74</v>
      </c>
      <c r="BQ963" t="s">
        <v>74</v>
      </c>
      <c r="BR963" t="s">
        <v>101</v>
      </c>
      <c r="BS963" t="s">
        <v>11584</v>
      </c>
      <c r="BT963" t="str">
        <f>HYPERLINK("https%3A%2F%2Fwww.webofscience.com%2Fwos%2Fwoscc%2Ffull-record%2FWOS:A1997YC86400003","View Full Record in Web of Science")</f>
        <v>View Full Record in Web of Science</v>
      </c>
    </row>
    <row r="964" spans="1:72" x14ac:dyDescent="0.15">
      <c r="A964" t="s">
        <v>72</v>
      </c>
      <c r="B964" t="s">
        <v>2490</v>
      </c>
      <c r="C964" t="s">
        <v>74</v>
      </c>
      <c r="D964" t="s">
        <v>74</v>
      </c>
      <c r="E964" t="s">
        <v>74</v>
      </c>
      <c r="F964" t="s">
        <v>2490</v>
      </c>
      <c r="G964" t="s">
        <v>74</v>
      </c>
      <c r="H964" t="s">
        <v>74</v>
      </c>
      <c r="I964" t="s">
        <v>11585</v>
      </c>
      <c r="J964" t="s">
        <v>2492</v>
      </c>
      <c r="K964" t="s">
        <v>74</v>
      </c>
      <c r="L964" t="s">
        <v>74</v>
      </c>
      <c r="M964" t="s">
        <v>77</v>
      </c>
      <c r="N964" t="s">
        <v>78</v>
      </c>
      <c r="O964" t="s">
        <v>74</v>
      </c>
      <c r="P964" t="s">
        <v>74</v>
      </c>
      <c r="Q964" t="s">
        <v>74</v>
      </c>
      <c r="R964" t="s">
        <v>74</v>
      </c>
      <c r="S964" t="s">
        <v>74</v>
      </c>
      <c r="T964" t="s">
        <v>74</v>
      </c>
      <c r="U964" t="s">
        <v>11586</v>
      </c>
      <c r="V964" t="s">
        <v>11587</v>
      </c>
      <c r="W964" t="s">
        <v>74</v>
      </c>
      <c r="X964" t="s">
        <v>74</v>
      </c>
      <c r="Y964" t="s">
        <v>11581</v>
      </c>
      <c r="Z964" t="s">
        <v>74</v>
      </c>
      <c r="AA964" t="s">
        <v>74</v>
      </c>
      <c r="AB964" t="s">
        <v>74</v>
      </c>
      <c r="AC964" t="s">
        <v>74</v>
      </c>
      <c r="AD964" t="s">
        <v>74</v>
      </c>
      <c r="AE964" t="s">
        <v>74</v>
      </c>
      <c r="AF964" t="s">
        <v>74</v>
      </c>
      <c r="AG964">
        <v>16</v>
      </c>
      <c r="AH964">
        <v>11</v>
      </c>
      <c r="AI964">
        <v>13</v>
      </c>
      <c r="AJ964">
        <v>0</v>
      </c>
      <c r="AK964">
        <v>2</v>
      </c>
      <c r="AL964" t="s">
        <v>2496</v>
      </c>
      <c r="AM964" t="s">
        <v>2497</v>
      </c>
      <c r="AN964" t="s">
        <v>2498</v>
      </c>
      <c r="AO964" t="s">
        <v>2499</v>
      </c>
      <c r="AP964" t="s">
        <v>74</v>
      </c>
      <c r="AQ964" t="s">
        <v>74</v>
      </c>
      <c r="AR964" t="s">
        <v>2500</v>
      </c>
      <c r="AS964" t="s">
        <v>2501</v>
      </c>
      <c r="AT964" t="s">
        <v>11582</v>
      </c>
      <c r="AU964">
        <v>1997</v>
      </c>
      <c r="AV964">
        <v>42</v>
      </c>
      <c r="AW964">
        <v>3</v>
      </c>
      <c r="AX964" t="s">
        <v>74</v>
      </c>
      <c r="AY964" t="s">
        <v>74</v>
      </c>
      <c r="AZ964" t="s">
        <v>74</v>
      </c>
      <c r="BA964" t="s">
        <v>74</v>
      </c>
      <c r="BB964">
        <v>144</v>
      </c>
      <c r="BC964">
        <v>148</v>
      </c>
      <c r="BD964" t="s">
        <v>74</v>
      </c>
      <c r="BE964" t="s">
        <v>74</v>
      </c>
      <c r="BF964" t="s">
        <v>74</v>
      </c>
      <c r="BG964" t="s">
        <v>74</v>
      </c>
      <c r="BH964" t="s">
        <v>74</v>
      </c>
      <c r="BI964">
        <v>5</v>
      </c>
      <c r="BJ964" t="s">
        <v>2503</v>
      </c>
      <c r="BK964" t="s">
        <v>98</v>
      </c>
      <c r="BL964" t="s">
        <v>2503</v>
      </c>
      <c r="BM964" t="s">
        <v>11583</v>
      </c>
      <c r="BN964" t="s">
        <v>74</v>
      </c>
      <c r="BO964" t="s">
        <v>74</v>
      </c>
      <c r="BP964" t="s">
        <v>74</v>
      </c>
      <c r="BQ964" t="s">
        <v>74</v>
      </c>
      <c r="BR964" t="s">
        <v>101</v>
      </c>
      <c r="BS964" t="s">
        <v>11588</v>
      </c>
      <c r="BT964" t="str">
        <f>HYPERLINK("https%3A%2F%2Fwww.webofscience.com%2Fwos%2Fwoscc%2Ffull-record%2FWOS:A1997YC86400004","View Full Record in Web of Science")</f>
        <v>View Full Record in Web of Science</v>
      </c>
    </row>
    <row r="965" spans="1:72" x14ac:dyDescent="0.15">
      <c r="A965" t="s">
        <v>72</v>
      </c>
      <c r="B965" t="s">
        <v>11589</v>
      </c>
      <c r="C965" t="s">
        <v>74</v>
      </c>
      <c r="D965" t="s">
        <v>74</v>
      </c>
      <c r="E965" t="s">
        <v>74</v>
      </c>
      <c r="F965" t="s">
        <v>11589</v>
      </c>
      <c r="G965" t="s">
        <v>74</v>
      </c>
      <c r="H965" t="s">
        <v>74</v>
      </c>
      <c r="I965" t="s">
        <v>11590</v>
      </c>
      <c r="J965" t="s">
        <v>11591</v>
      </c>
      <c r="K965" t="s">
        <v>74</v>
      </c>
      <c r="L965" t="s">
        <v>74</v>
      </c>
      <c r="M965" t="s">
        <v>77</v>
      </c>
      <c r="N965" t="s">
        <v>78</v>
      </c>
      <c r="O965" t="s">
        <v>74</v>
      </c>
      <c r="P965" t="s">
        <v>74</v>
      </c>
      <c r="Q965" t="s">
        <v>74</v>
      </c>
      <c r="R965" t="s">
        <v>74</v>
      </c>
      <c r="S965" t="s">
        <v>74</v>
      </c>
      <c r="T965" t="s">
        <v>11592</v>
      </c>
      <c r="U965" t="s">
        <v>11593</v>
      </c>
      <c r="V965" t="s">
        <v>11594</v>
      </c>
      <c r="W965" t="s">
        <v>11595</v>
      </c>
      <c r="X965" t="s">
        <v>11596</v>
      </c>
      <c r="Y965" t="s">
        <v>74</v>
      </c>
      <c r="Z965" t="s">
        <v>74</v>
      </c>
      <c r="AA965" t="s">
        <v>74</v>
      </c>
      <c r="AB965" t="s">
        <v>7390</v>
      </c>
      <c r="AC965" t="s">
        <v>74</v>
      </c>
      <c r="AD965" t="s">
        <v>74</v>
      </c>
      <c r="AE965" t="s">
        <v>74</v>
      </c>
      <c r="AF965" t="s">
        <v>74</v>
      </c>
      <c r="AG965">
        <v>19</v>
      </c>
      <c r="AH965">
        <v>38</v>
      </c>
      <c r="AI965">
        <v>42</v>
      </c>
      <c r="AJ965">
        <v>1</v>
      </c>
      <c r="AK965">
        <v>14</v>
      </c>
      <c r="AL965" t="s">
        <v>11597</v>
      </c>
      <c r="AM965" t="s">
        <v>11598</v>
      </c>
      <c r="AN965" t="s">
        <v>11599</v>
      </c>
      <c r="AO965" t="s">
        <v>11600</v>
      </c>
      <c r="AP965" t="s">
        <v>74</v>
      </c>
      <c r="AQ965" t="s">
        <v>74</v>
      </c>
      <c r="AR965" t="s">
        <v>11601</v>
      </c>
      <c r="AS965" t="s">
        <v>11602</v>
      </c>
      <c r="AT965" t="s">
        <v>11582</v>
      </c>
      <c r="AU965">
        <v>1997</v>
      </c>
      <c r="AV965">
        <v>273</v>
      </c>
      <c r="AW965">
        <v>1</v>
      </c>
      <c r="AX965" t="s">
        <v>74</v>
      </c>
      <c r="AY965" t="s">
        <v>74</v>
      </c>
      <c r="AZ965" t="s">
        <v>74</v>
      </c>
      <c r="BA965" t="s">
        <v>74</v>
      </c>
      <c r="BB965" t="s">
        <v>11603</v>
      </c>
      <c r="BC965" t="s">
        <v>11604</v>
      </c>
      <c r="BD965" t="s">
        <v>74</v>
      </c>
      <c r="BE965" t="s">
        <v>11605</v>
      </c>
      <c r="BF965" t="str">
        <f>HYPERLINK("http://dx.doi.org/10.1152/ajpregu.1997.273.1.R100","http://dx.doi.org/10.1152/ajpregu.1997.273.1.R100")</f>
        <v>http://dx.doi.org/10.1152/ajpregu.1997.273.1.R100</v>
      </c>
      <c r="BG965" t="s">
        <v>74</v>
      </c>
      <c r="BH965" t="s">
        <v>74</v>
      </c>
      <c r="BI965">
        <v>7</v>
      </c>
      <c r="BJ965" t="s">
        <v>11138</v>
      </c>
      <c r="BK965" t="s">
        <v>98</v>
      </c>
      <c r="BL965" t="s">
        <v>11138</v>
      </c>
      <c r="BM965" t="s">
        <v>11606</v>
      </c>
      <c r="BN965">
        <v>9249538</v>
      </c>
      <c r="BO965" t="s">
        <v>74</v>
      </c>
      <c r="BP965" t="s">
        <v>74</v>
      </c>
      <c r="BQ965" t="s">
        <v>74</v>
      </c>
      <c r="BR965" t="s">
        <v>101</v>
      </c>
      <c r="BS965" t="s">
        <v>11607</v>
      </c>
      <c r="BT965" t="str">
        <f>HYPERLINK("https%3A%2F%2Fwww.webofscience.com%2Fwos%2Fwoscc%2Ffull-record%2FWOS:A1997XK68000013","View Full Record in Web of Science")</f>
        <v>View Full Record in Web of Science</v>
      </c>
    </row>
    <row r="966" spans="1:72" x14ac:dyDescent="0.15">
      <c r="A966" t="s">
        <v>72</v>
      </c>
      <c r="B966" t="s">
        <v>11608</v>
      </c>
      <c r="C966" t="s">
        <v>74</v>
      </c>
      <c r="D966" t="s">
        <v>74</v>
      </c>
      <c r="E966" t="s">
        <v>74</v>
      </c>
      <c r="F966" t="s">
        <v>11608</v>
      </c>
      <c r="G966" t="s">
        <v>74</v>
      </c>
      <c r="H966" t="s">
        <v>74</v>
      </c>
      <c r="I966" t="s">
        <v>11609</v>
      </c>
      <c r="J966" t="s">
        <v>9129</v>
      </c>
      <c r="K966" t="s">
        <v>74</v>
      </c>
      <c r="L966" t="s">
        <v>74</v>
      </c>
      <c r="M966" t="s">
        <v>77</v>
      </c>
      <c r="N966" t="s">
        <v>78</v>
      </c>
      <c r="O966" t="s">
        <v>74</v>
      </c>
      <c r="P966" t="s">
        <v>74</v>
      </c>
      <c r="Q966" t="s">
        <v>74</v>
      </c>
      <c r="R966" t="s">
        <v>74</v>
      </c>
      <c r="S966" t="s">
        <v>74</v>
      </c>
      <c r="T966" t="s">
        <v>74</v>
      </c>
      <c r="U966" t="s">
        <v>11610</v>
      </c>
      <c r="V966" t="s">
        <v>11611</v>
      </c>
      <c r="W966" t="s">
        <v>11612</v>
      </c>
      <c r="X966" t="s">
        <v>11613</v>
      </c>
      <c r="Y966" t="s">
        <v>11614</v>
      </c>
      <c r="Z966" t="s">
        <v>74</v>
      </c>
      <c r="AA966" t="s">
        <v>74</v>
      </c>
      <c r="AB966" t="s">
        <v>74</v>
      </c>
      <c r="AC966" t="s">
        <v>74</v>
      </c>
      <c r="AD966" t="s">
        <v>74</v>
      </c>
      <c r="AE966" t="s">
        <v>74</v>
      </c>
      <c r="AF966" t="s">
        <v>74</v>
      </c>
      <c r="AG966">
        <v>51</v>
      </c>
      <c r="AH966">
        <v>22</v>
      </c>
      <c r="AI966">
        <v>23</v>
      </c>
      <c r="AJ966">
        <v>1</v>
      </c>
      <c r="AK966">
        <v>13</v>
      </c>
      <c r="AL966" t="s">
        <v>11615</v>
      </c>
      <c r="AM966" t="s">
        <v>590</v>
      </c>
      <c r="AN966" t="s">
        <v>11616</v>
      </c>
      <c r="AO966" t="s">
        <v>9136</v>
      </c>
      <c r="AP966" t="s">
        <v>74</v>
      </c>
      <c r="AQ966" t="s">
        <v>74</v>
      </c>
      <c r="AR966" t="s">
        <v>9129</v>
      </c>
      <c r="AS966" t="s">
        <v>9129</v>
      </c>
      <c r="AT966" t="s">
        <v>11582</v>
      </c>
      <c r="AU966">
        <v>1997</v>
      </c>
      <c r="AV966">
        <v>114</v>
      </c>
      <c r="AW966">
        <v>3</v>
      </c>
      <c r="AX966" t="s">
        <v>74</v>
      </c>
      <c r="AY966" t="s">
        <v>74</v>
      </c>
      <c r="AZ966" t="s">
        <v>74</v>
      </c>
      <c r="BA966" t="s">
        <v>74</v>
      </c>
      <c r="BB966">
        <v>333</v>
      </c>
      <c r="BC966">
        <v>340</v>
      </c>
      <c r="BD966" t="s">
        <v>74</v>
      </c>
      <c r="BE966" t="s">
        <v>74</v>
      </c>
      <c r="BF966" t="s">
        <v>74</v>
      </c>
      <c r="BG966" t="s">
        <v>74</v>
      </c>
      <c r="BH966" t="s">
        <v>74</v>
      </c>
      <c r="BI966">
        <v>8</v>
      </c>
      <c r="BJ966" t="s">
        <v>439</v>
      </c>
      <c r="BK966" t="s">
        <v>98</v>
      </c>
      <c r="BL966" t="s">
        <v>417</v>
      </c>
      <c r="BM966" t="s">
        <v>11617</v>
      </c>
      <c r="BN966" t="s">
        <v>74</v>
      </c>
      <c r="BO966" t="s">
        <v>74</v>
      </c>
      <c r="BP966" t="s">
        <v>74</v>
      </c>
      <c r="BQ966" t="s">
        <v>74</v>
      </c>
      <c r="BR966" t="s">
        <v>101</v>
      </c>
      <c r="BS966" t="s">
        <v>11618</v>
      </c>
      <c r="BT966" t="str">
        <f>HYPERLINK("https%3A%2F%2Fwww.webofscience.com%2Fwos%2Fwoscc%2Ffull-record%2FWOS:A1997XM88600003","View Full Record in Web of Science")</f>
        <v>View Full Record in Web of Science</v>
      </c>
    </row>
    <row r="967" spans="1:72" x14ac:dyDescent="0.15">
      <c r="A967" t="s">
        <v>72</v>
      </c>
      <c r="B967" t="s">
        <v>11619</v>
      </c>
      <c r="C967" t="s">
        <v>74</v>
      </c>
      <c r="D967" t="s">
        <v>74</v>
      </c>
      <c r="E967" t="s">
        <v>74</v>
      </c>
      <c r="F967" t="s">
        <v>11619</v>
      </c>
      <c r="G967" t="s">
        <v>74</v>
      </c>
      <c r="H967" t="s">
        <v>74</v>
      </c>
      <c r="I967" t="s">
        <v>11620</v>
      </c>
      <c r="J967" t="s">
        <v>9129</v>
      </c>
      <c r="K967" t="s">
        <v>74</v>
      </c>
      <c r="L967" t="s">
        <v>74</v>
      </c>
      <c r="M967" t="s">
        <v>77</v>
      </c>
      <c r="N967" t="s">
        <v>78</v>
      </c>
      <c r="O967" t="s">
        <v>74</v>
      </c>
      <c r="P967" t="s">
        <v>74</v>
      </c>
      <c r="Q967" t="s">
        <v>74</v>
      </c>
      <c r="R967" t="s">
        <v>74</v>
      </c>
      <c r="S967" t="s">
        <v>74</v>
      </c>
      <c r="T967" t="s">
        <v>74</v>
      </c>
      <c r="U967" t="s">
        <v>11621</v>
      </c>
      <c r="V967" t="s">
        <v>11622</v>
      </c>
      <c r="W967" t="s">
        <v>74</v>
      </c>
      <c r="X967" t="s">
        <v>74</v>
      </c>
      <c r="Y967" t="s">
        <v>11623</v>
      </c>
      <c r="Z967" t="s">
        <v>74</v>
      </c>
      <c r="AA967" t="s">
        <v>74</v>
      </c>
      <c r="AB967" t="s">
        <v>74</v>
      </c>
      <c r="AC967" t="s">
        <v>74</v>
      </c>
      <c r="AD967" t="s">
        <v>74</v>
      </c>
      <c r="AE967" t="s">
        <v>74</v>
      </c>
      <c r="AF967" t="s">
        <v>74</v>
      </c>
      <c r="AG967">
        <v>30</v>
      </c>
      <c r="AH967">
        <v>21</v>
      </c>
      <c r="AI967">
        <v>25</v>
      </c>
      <c r="AJ967">
        <v>1</v>
      </c>
      <c r="AK967">
        <v>20</v>
      </c>
      <c r="AL967" t="s">
        <v>11615</v>
      </c>
      <c r="AM967" t="s">
        <v>590</v>
      </c>
      <c r="AN967" t="s">
        <v>11616</v>
      </c>
      <c r="AO967" t="s">
        <v>9136</v>
      </c>
      <c r="AP967" t="s">
        <v>74</v>
      </c>
      <c r="AQ967" t="s">
        <v>74</v>
      </c>
      <c r="AR967" t="s">
        <v>9129</v>
      </c>
      <c r="AS967" t="s">
        <v>9129</v>
      </c>
      <c r="AT967" t="s">
        <v>11582</v>
      </c>
      <c r="AU967">
        <v>1997</v>
      </c>
      <c r="AV967">
        <v>114</v>
      </c>
      <c r="AW967">
        <v>3</v>
      </c>
      <c r="AX967" t="s">
        <v>74</v>
      </c>
      <c r="AY967" t="s">
        <v>74</v>
      </c>
      <c r="AZ967" t="s">
        <v>74</v>
      </c>
      <c r="BA967" t="s">
        <v>74</v>
      </c>
      <c r="BB967">
        <v>488</v>
      </c>
      <c r="BC967">
        <v>495</v>
      </c>
      <c r="BD967" t="s">
        <v>74</v>
      </c>
      <c r="BE967" t="s">
        <v>11624</v>
      </c>
      <c r="BF967" t="str">
        <f>HYPERLINK("http://dx.doi.org/10.2307/4089249","http://dx.doi.org/10.2307/4089249")</f>
        <v>http://dx.doi.org/10.2307/4089249</v>
      </c>
      <c r="BG967" t="s">
        <v>74</v>
      </c>
      <c r="BH967" t="s">
        <v>74</v>
      </c>
      <c r="BI967">
        <v>8</v>
      </c>
      <c r="BJ967" t="s">
        <v>439</v>
      </c>
      <c r="BK967" t="s">
        <v>98</v>
      </c>
      <c r="BL967" t="s">
        <v>417</v>
      </c>
      <c r="BM967" t="s">
        <v>11617</v>
      </c>
      <c r="BN967" t="s">
        <v>74</v>
      </c>
      <c r="BO967" t="s">
        <v>100</v>
      </c>
      <c r="BP967" t="s">
        <v>74</v>
      </c>
      <c r="BQ967" t="s">
        <v>74</v>
      </c>
      <c r="BR967" t="s">
        <v>101</v>
      </c>
      <c r="BS967" t="s">
        <v>11625</v>
      </c>
      <c r="BT967" t="str">
        <f>HYPERLINK("https%3A%2F%2Fwww.webofscience.com%2Fwos%2Fwoscc%2Ffull-record%2FWOS:A1997XM88600016","View Full Record in Web of Science")</f>
        <v>View Full Record in Web of Science</v>
      </c>
    </row>
    <row r="968" spans="1:72" x14ac:dyDescent="0.15">
      <c r="A968" t="s">
        <v>72</v>
      </c>
      <c r="B968" t="s">
        <v>11626</v>
      </c>
      <c r="C968" t="s">
        <v>74</v>
      </c>
      <c r="D968" t="s">
        <v>74</v>
      </c>
      <c r="E968" t="s">
        <v>74</v>
      </c>
      <c r="F968" t="s">
        <v>11626</v>
      </c>
      <c r="G968" t="s">
        <v>74</v>
      </c>
      <c r="H968" t="s">
        <v>74</v>
      </c>
      <c r="I968" t="s">
        <v>11627</v>
      </c>
      <c r="J968" t="s">
        <v>1392</v>
      </c>
      <c r="K968" t="s">
        <v>74</v>
      </c>
      <c r="L968" t="s">
        <v>74</v>
      </c>
      <c r="M968" t="s">
        <v>77</v>
      </c>
      <c r="N968" t="s">
        <v>78</v>
      </c>
      <c r="O968" t="s">
        <v>74</v>
      </c>
      <c r="P968" t="s">
        <v>74</v>
      </c>
      <c r="Q968" t="s">
        <v>74</v>
      </c>
      <c r="R968" t="s">
        <v>74</v>
      </c>
      <c r="S968" t="s">
        <v>74</v>
      </c>
      <c r="T968" t="s">
        <v>11628</v>
      </c>
      <c r="U968" t="s">
        <v>11629</v>
      </c>
      <c r="V968" t="s">
        <v>11630</v>
      </c>
      <c r="W968" t="s">
        <v>11631</v>
      </c>
      <c r="X968" t="s">
        <v>6663</v>
      </c>
      <c r="Y968" t="s">
        <v>11632</v>
      </c>
      <c r="Z968" t="s">
        <v>74</v>
      </c>
      <c r="AA968" t="s">
        <v>74</v>
      </c>
      <c r="AB968" t="s">
        <v>11633</v>
      </c>
      <c r="AC968" t="s">
        <v>74</v>
      </c>
      <c r="AD968" t="s">
        <v>74</v>
      </c>
      <c r="AE968" t="s">
        <v>74</v>
      </c>
      <c r="AF968" t="s">
        <v>74</v>
      </c>
      <c r="AG968">
        <v>75</v>
      </c>
      <c r="AH968">
        <v>67</v>
      </c>
      <c r="AI968">
        <v>72</v>
      </c>
      <c r="AJ968">
        <v>1</v>
      </c>
      <c r="AK968">
        <v>8</v>
      </c>
      <c r="AL968" t="s">
        <v>897</v>
      </c>
      <c r="AM968" t="s">
        <v>244</v>
      </c>
      <c r="AN968" t="s">
        <v>7783</v>
      </c>
      <c r="AO968" t="s">
        <v>1401</v>
      </c>
      <c r="AP968" t="s">
        <v>74</v>
      </c>
      <c r="AQ968" t="s">
        <v>74</v>
      </c>
      <c r="AR968" t="s">
        <v>1402</v>
      </c>
      <c r="AS968" t="s">
        <v>1403</v>
      </c>
      <c r="AT968" t="s">
        <v>11582</v>
      </c>
      <c r="AU968">
        <v>1997</v>
      </c>
      <c r="AV968">
        <v>58</v>
      </c>
      <c r="AW968">
        <v>8</v>
      </c>
      <c r="AX968" t="s">
        <v>74</v>
      </c>
      <c r="AY968" t="s">
        <v>74</v>
      </c>
      <c r="AZ968" t="s">
        <v>74</v>
      </c>
      <c r="BA968" t="s">
        <v>74</v>
      </c>
      <c r="BB968">
        <v>628</v>
      </c>
      <c r="BC968">
        <v>646</v>
      </c>
      <c r="BD968" t="s">
        <v>74</v>
      </c>
      <c r="BE968" t="s">
        <v>11634</v>
      </c>
      <c r="BF968" t="str">
        <f>HYPERLINK("http://dx.doi.org/10.1007/s004450050167","http://dx.doi.org/10.1007/s004450050167")</f>
        <v>http://dx.doi.org/10.1007/s004450050167</v>
      </c>
      <c r="BG968" t="s">
        <v>74</v>
      </c>
      <c r="BH968" t="s">
        <v>74</v>
      </c>
      <c r="BI968">
        <v>19</v>
      </c>
      <c r="BJ968" t="s">
        <v>769</v>
      </c>
      <c r="BK968" t="s">
        <v>98</v>
      </c>
      <c r="BL968" t="s">
        <v>471</v>
      </c>
      <c r="BM968" t="s">
        <v>11635</v>
      </c>
      <c r="BN968" t="s">
        <v>74</v>
      </c>
      <c r="BO968" t="s">
        <v>74</v>
      </c>
      <c r="BP968" t="s">
        <v>74</v>
      </c>
      <c r="BQ968" t="s">
        <v>74</v>
      </c>
      <c r="BR968" t="s">
        <v>101</v>
      </c>
      <c r="BS968" t="s">
        <v>11636</v>
      </c>
      <c r="BT968" t="str">
        <f>HYPERLINK("https%3A%2F%2Fwww.webofscience.com%2Fwos%2Fwoscc%2Ffull-record%2FWOS:A1997XM66000004","View Full Record in Web of Science")</f>
        <v>View Full Record in Web of Science</v>
      </c>
    </row>
    <row r="969" spans="1:72" x14ac:dyDescent="0.15">
      <c r="A969" t="s">
        <v>72</v>
      </c>
      <c r="B969" t="s">
        <v>11637</v>
      </c>
      <c r="C969" t="s">
        <v>74</v>
      </c>
      <c r="D969" t="s">
        <v>74</v>
      </c>
      <c r="E969" t="s">
        <v>74</v>
      </c>
      <c r="F969" t="s">
        <v>11637</v>
      </c>
      <c r="G969" t="s">
        <v>74</v>
      </c>
      <c r="H969" t="s">
        <v>74</v>
      </c>
      <c r="I969" t="s">
        <v>11638</v>
      </c>
      <c r="J969" t="s">
        <v>11639</v>
      </c>
      <c r="K969" t="s">
        <v>74</v>
      </c>
      <c r="L969" t="s">
        <v>74</v>
      </c>
      <c r="M969" t="s">
        <v>77</v>
      </c>
      <c r="N969" t="s">
        <v>10205</v>
      </c>
      <c r="O969" t="s">
        <v>74</v>
      </c>
      <c r="P969" t="s">
        <v>74</v>
      </c>
      <c r="Q969" t="s">
        <v>74</v>
      </c>
      <c r="R969" t="s">
        <v>74</v>
      </c>
      <c r="S969" t="s">
        <v>74</v>
      </c>
      <c r="T969" t="s">
        <v>74</v>
      </c>
      <c r="U969" t="s">
        <v>74</v>
      </c>
      <c r="V969" t="s">
        <v>74</v>
      </c>
      <c r="W969" t="s">
        <v>74</v>
      </c>
      <c r="X969" t="s">
        <v>74</v>
      </c>
      <c r="Y969" t="s">
        <v>74</v>
      </c>
      <c r="Z969" t="s">
        <v>74</v>
      </c>
      <c r="AA969" t="s">
        <v>74</v>
      </c>
      <c r="AB969" t="s">
        <v>74</v>
      </c>
      <c r="AC969" t="s">
        <v>74</v>
      </c>
      <c r="AD969" t="s">
        <v>74</v>
      </c>
      <c r="AE969" t="s">
        <v>74</v>
      </c>
      <c r="AF969" t="s">
        <v>74</v>
      </c>
      <c r="AG969">
        <v>1</v>
      </c>
      <c r="AH969">
        <v>0</v>
      </c>
      <c r="AI969">
        <v>0</v>
      </c>
      <c r="AJ969">
        <v>0</v>
      </c>
      <c r="AK969">
        <v>0</v>
      </c>
      <c r="AL969" t="s">
        <v>7825</v>
      </c>
      <c r="AM969" t="s">
        <v>7826</v>
      </c>
      <c r="AN969" t="s">
        <v>7827</v>
      </c>
      <c r="AO969" t="s">
        <v>11640</v>
      </c>
      <c r="AP969" t="s">
        <v>74</v>
      </c>
      <c r="AQ969" t="s">
        <v>74</v>
      </c>
      <c r="AR969" t="s">
        <v>11641</v>
      </c>
      <c r="AS969" t="s">
        <v>11642</v>
      </c>
      <c r="AT969" t="s">
        <v>11582</v>
      </c>
      <c r="AU969">
        <v>1997</v>
      </c>
      <c r="AV969">
        <v>42</v>
      </c>
      <c r="AW969">
        <v>13</v>
      </c>
      <c r="AX969" t="s">
        <v>74</v>
      </c>
      <c r="AY969" t="s">
        <v>74</v>
      </c>
      <c r="AZ969" t="s">
        <v>74</v>
      </c>
      <c r="BA969" t="s">
        <v>74</v>
      </c>
      <c r="BB969">
        <v>1132</v>
      </c>
      <c r="BC969">
        <v>1132</v>
      </c>
      <c r="BD969" t="s">
        <v>74</v>
      </c>
      <c r="BE969" t="s">
        <v>74</v>
      </c>
      <c r="BF969" t="s">
        <v>74</v>
      </c>
      <c r="BG969" t="s">
        <v>74</v>
      </c>
      <c r="BH969" t="s">
        <v>74</v>
      </c>
      <c r="BI969">
        <v>1</v>
      </c>
      <c r="BJ969" t="s">
        <v>186</v>
      </c>
      <c r="BK969" t="s">
        <v>98</v>
      </c>
      <c r="BL969" t="s">
        <v>187</v>
      </c>
      <c r="BM969" t="s">
        <v>11643</v>
      </c>
      <c r="BN969" t="s">
        <v>74</v>
      </c>
      <c r="BO969" t="s">
        <v>74</v>
      </c>
      <c r="BP969" t="s">
        <v>74</v>
      </c>
      <c r="BQ969" t="s">
        <v>74</v>
      </c>
      <c r="BR969" t="s">
        <v>101</v>
      </c>
      <c r="BS969" t="s">
        <v>11644</v>
      </c>
      <c r="BT969" t="str">
        <f>HYPERLINK("https%3A%2F%2Fwww.webofscience.com%2Fwos%2Fwoscc%2Ffull-record%2FWOS:A1997XK84400024","View Full Record in Web of Science")</f>
        <v>View Full Record in Web of Science</v>
      </c>
    </row>
    <row r="970" spans="1:72" x14ac:dyDescent="0.15">
      <c r="A970" t="s">
        <v>72</v>
      </c>
      <c r="B970" t="s">
        <v>11645</v>
      </c>
      <c r="C970" t="s">
        <v>74</v>
      </c>
      <c r="D970" t="s">
        <v>74</v>
      </c>
      <c r="E970" t="s">
        <v>74</v>
      </c>
      <c r="F970" t="s">
        <v>11645</v>
      </c>
      <c r="G970" t="s">
        <v>74</v>
      </c>
      <c r="H970" t="s">
        <v>74</v>
      </c>
      <c r="I970" t="s">
        <v>11646</v>
      </c>
      <c r="J970" t="s">
        <v>1409</v>
      </c>
      <c r="K970" t="s">
        <v>74</v>
      </c>
      <c r="L970" t="s">
        <v>74</v>
      </c>
      <c r="M970" t="s">
        <v>77</v>
      </c>
      <c r="N970" t="s">
        <v>78</v>
      </c>
      <c r="O970" t="s">
        <v>74</v>
      </c>
      <c r="P970" t="s">
        <v>74</v>
      </c>
      <c r="Q970" t="s">
        <v>74</v>
      </c>
      <c r="R970" t="s">
        <v>74</v>
      </c>
      <c r="S970" t="s">
        <v>74</v>
      </c>
      <c r="T970" t="s">
        <v>74</v>
      </c>
      <c r="U970" t="s">
        <v>11647</v>
      </c>
      <c r="V970" t="s">
        <v>11648</v>
      </c>
      <c r="W970" t="s">
        <v>11649</v>
      </c>
      <c r="X970" t="s">
        <v>11650</v>
      </c>
      <c r="Y970" t="s">
        <v>11651</v>
      </c>
      <c r="Z970" t="s">
        <v>74</v>
      </c>
      <c r="AA970" t="s">
        <v>11652</v>
      </c>
      <c r="AB970" t="s">
        <v>11653</v>
      </c>
      <c r="AC970" t="s">
        <v>74</v>
      </c>
      <c r="AD970" t="s">
        <v>74</v>
      </c>
      <c r="AE970" t="s">
        <v>74</v>
      </c>
      <c r="AF970" t="s">
        <v>74</v>
      </c>
      <c r="AG970">
        <v>83</v>
      </c>
      <c r="AH970">
        <v>70</v>
      </c>
      <c r="AI970">
        <v>71</v>
      </c>
      <c r="AJ970">
        <v>0</v>
      </c>
      <c r="AK970">
        <v>9</v>
      </c>
      <c r="AL970" t="s">
        <v>914</v>
      </c>
      <c r="AM970" t="s">
        <v>244</v>
      </c>
      <c r="AN970" t="s">
        <v>915</v>
      </c>
      <c r="AO970" t="s">
        <v>1417</v>
      </c>
      <c r="AP970" t="s">
        <v>11654</v>
      </c>
      <c r="AQ970" t="s">
        <v>74</v>
      </c>
      <c r="AR970" t="s">
        <v>1418</v>
      </c>
      <c r="AS970" t="s">
        <v>1419</v>
      </c>
      <c r="AT970" t="s">
        <v>11582</v>
      </c>
      <c r="AU970">
        <v>1997</v>
      </c>
      <c r="AV970">
        <v>13</v>
      </c>
      <c r="AW970">
        <v>6</v>
      </c>
      <c r="AX970" t="s">
        <v>74</v>
      </c>
      <c r="AY970" t="s">
        <v>74</v>
      </c>
      <c r="AZ970" t="s">
        <v>74</v>
      </c>
      <c r="BA970" t="s">
        <v>74</v>
      </c>
      <c r="BB970">
        <v>375</v>
      </c>
      <c r="BC970">
        <v>390</v>
      </c>
      <c r="BD970" t="s">
        <v>74</v>
      </c>
      <c r="BE970" t="s">
        <v>11655</v>
      </c>
      <c r="BF970" t="str">
        <f>HYPERLINK("http://dx.doi.org/10.1007/s003820050172","http://dx.doi.org/10.1007/s003820050172")</f>
        <v>http://dx.doi.org/10.1007/s003820050172</v>
      </c>
      <c r="BG970" t="s">
        <v>74</v>
      </c>
      <c r="BH970" t="s">
        <v>74</v>
      </c>
      <c r="BI970">
        <v>16</v>
      </c>
      <c r="BJ970" t="s">
        <v>635</v>
      </c>
      <c r="BK970" t="s">
        <v>98</v>
      </c>
      <c r="BL970" t="s">
        <v>635</v>
      </c>
      <c r="BM970" t="s">
        <v>11656</v>
      </c>
      <c r="BN970" t="s">
        <v>74</v>
      </c>
      <c r="BO970" t="s">
        <v>74</v>
      </c>
      <c r="BP970" t="s">
        <v>74</v>
      </c>
      <c r="BQ970" t="s">
        <v>74</v>
      </c>
      <c r="BR970" t="s">
        <v>101</v>
      </c>
      <c r="BS970" t="s">
        <v>11657</v>
      </c>
      <c r="BT970" t="str">
        <f>HYPERLINK("https%3A%2F%2Fwww.webofscience.com%2Fwos%2Fwoscc%2Ffull-record%2FWOS:A1997XN82800001","View Full Record in Web of Science")</f>
        <v>View Full Record in Web of Science</v>
      </c>
    </row>
    <row r="971" spans="1:72" x14ac:dyDescent="0.15">
      <c r="A971" t="s">
        <v>72</v>
      </c>
      <c r="B971" t="s">
        <v>11658</v>
      </c>
      <c r="C971" t="s">
        <v>74</v>
      </c>
      <c r="D971" t="s">
        <v>74</v>
      </c>
      <c r="E971" t="s">
        <v>74</v>
      </c>
      <c r="F971" t="s">
        <v>11658</v>
      </c>
      <c r="G971" t="s">
        <v>74</v>
      </c>
      <c r="H971" t="s">
        <v>74</v>
      </c>
      <c r="I971" t="s">
        <v>11659</v>
      </c>
      <c r="J971" t="s">
        <v>1409</v>
      </c>
      <c r="K971" t="s">
        <v>74</v>
      </c>
      <c r="L971" t="s">
        <v>74</v>
      </c>
      <c r="M971" t="s">
        <v>77</v>
      </c>
      <c r="N971" t="s">
        <v>78</v>
      </c>
      <c r="O971" t="s">
        <v>74</v>
      </c>
      <c r="P971" t="s">
        <v>74</v>
      </c>
      <c r="Q971" t="s">
        <v>74</v>
      </c>
      <c r="R971" t="s">
        <v>74</v>
      </c>
      <c r="S971" t="s">
        <v>74</v>
      </c>
      <c r="T971" t="s">
        <v>74</v>
      </c>
      <c r="U971" t="s">
        <v>11660</v>
      </c>
      <c r="V971" t="s">
        <v>11661</v>
      </c>
      <c r="W971" t="s">
        <v>11662</v>
      </c>
      <c r="X971" t="s">
        <v>74</v>
      </c>
      <c r="Y971" t="s">
        <v>11663</v>
      </c>
      <c r="Z971" t="s">
        <v>74</v>
      </c>
      <c r="AA971" t="s">
        <v>11664</v>
      </c>
      <c r="AB971" t="s">
        <v>11665</v>
      </c>
      <c r="AC971" t="s">
        <v>74</v>
      </c>
      <c r="AD971" t="s">
        <v>74</v>
      </c>
      <c r="AE971" t="s">
        <v>74</v>
      </c>
      <c r="AF971" t="s">
        <v>74</v>
      </c>
      <c r="AG971">
        <v>74</v>
      </c>
      <c r="AH971">
        <v>8</v>
      </c>
      <c r="AI971">
        <v>8</v>
      </c>
      <c r="AJ971">
        <v>0</v>
      </c>
      <c r="AK971">
        <v>1</v>
      </c>
      <c r="AL971" t="s">
        <v>897</v>
      </c>
      <c r="AM971" t="s">
        <v>244</v>
      </c>
      <c r="AN971" t="s">
        <v>7783</v>
      </c>
      <c r="AO971" t="s">
        <v>1417</v>
      </c>
      <c r="AP971" t="s">
        <v>74</v>
      </c>
      <c r="AQ971" t="s">
        <v>74</v>
      </c>
      <c r="AR971" t="s">
        <v>1418</v>
      </c>
      <c r="AS971" t="s">
        <v>1419</v>
      </c>
      <c r="AT971" t="s">
        <v>11582</v>
      </c>
      <c r="AU971">
        <v>1997</v>
      </c>
      <c r="AV971">
        <v>13</v>
      </c>
      <c r="AW971">
        <v>6</v>
      </c>
      <c r="AX971" t="s">
        <v>74</v>
      </c>
      <c r="AY971" t="s">
        <v>74</v>
      </c>
      <c r="AZ971" t="s">
        <v>74</v>
      </c>
      <c r="BA971" t="s">
        <v>74</v>
      </c>
      <c r="BB971">
        <v>417</v>
      </c>
      <c r="BC971">
        <v>428</v>
      </c>
      <c r="BD971" t="s">
        <v>74</v>
      </c>
      <c r="BE971" t="s">
        <v>11666</v>
      </c>
      <c r="BF971" t="str">
        <f>HYPERLINK("http://dx.doi.org/10.1007/s003820050174","http://dx.doi.org/10.1007/s003820050174")</f>
        <v>http://dx.doi.org/10.1007/s003820050174</v>
      </c>
      <c r="BG971" t="s">
        <v>74</v>
      </c>
      <c r="BH971" t="s">
        <v>74</v>
      </c>
      <c r="BI971">
        <v>12</v>
      </c>
      <c r="BJ971" t="s">
        <v>635</v>
      </c>
      <c r="BK971" t="s">
        <v>98</v>
      </c>
      <c r="BL971" t="s">
        <v>635</v>
      </c>
      <c r="BM971" t="s">
        <v>11656</v>
      </c>
      <c r="BN971" t="s">
        <v>74</v>
      </c>
      <c r="BO971" t="s">
        <v>74</v>
      </c>
      <c r="BP971" t="s">
        <v>74</v>
      </c>
      <c r="BQ971" t="s">
        <v>74</v>
      </c>
      <c r="BR971" t="s">
        <v>101</v>
      </c>
      <c r="BS971" t="s">
        <v>11667</v>
      </c>
      <c r="BT971" t="str">
        <f>HYPERLINK("https%3A%2F%2Fwww.webofscience.com%2Fwos%2Fwoscc%2Ffull-record%2FWOS:A1997XN82800003","View Full Record in Web of Science")</f>
        <v>View Full Record in Web of Science</v>
      </c>
    </row>
    <row r="972" spans="1:72" x14ac:dyDescent="0.15">
      <c r="A972" t="s">
        <v>72</v>
      </c>
      <c r="B972" t="s">
        <v>11668</v>
      </c>
      <c r="C972" t="s">
        <v>74</v>
      </c>
      <c r="D972" t="s">
        <v>74</v>
      </c>
      <c r="E972" t="s">
        <v>74</v>
      </c>
      <c r="F972" t="s">
        <v>11668</v>
      </c>
      <c r="G972" t="s">
        <v>74</v>
      </c>
      <c r="H972" t="s">
        <v>74</v>
      </c>
      <c r="I972" t="s">
        <v>11669</v>
      </c>
      <c r="J972" t="s">
        <v>7200</v>
      </c>
      <c r="K972" t="s">
        <v>74</v>
      </c>
      <c r="L972" t="s">
        <v>74</v>
      </c>
      <c r="M972" t="s">
        <v>77</v>
      </c>
      <c r="N972" t="s">
        <v>78</v>
      </c>
      <c r="O972" t="s">
        <v>74</v>
      </c>
      <c r="P972" t="s">
        <v>74</v>
      </c>
      <c r="Q972" t="s">
        <v>74</v>
      </c>
      <c r="R972" t="s">
        <v>74</v>
      </c>
      <c r="S972" t="s">
        <v>74</v>
      </c>
      <c r="T972" t="s">
        <v>74</v>
      </c>
      <c r="U972" t="s">
        <v>11670</v>
      </c>
      <c r="V972" t="s">
        <v>11671</v>
      </c>
      <c r="W972" t="s">
        <v>11672</v>
      </c>
      <c r="X972" t="s">
        <v>11673</v>
      </c>
      <c r="Y972" t="s">
        <v>11674</v>
      </c>
      <c r="Z972" t="s">
        <v>74</v>
      </c>
      <c r="AA972" t="s">
        <v>74</v>
      </c>
      <c r="AB972" t="s">
        <v>11675</v>
      </c>
      <c r="AC972" t="s">
        <v>74</v>
      </c>
      <c r="AD972" t="s">
        <v>74</v>
      </c>
      <c r="AE972" t="s">
        <v>74</v>
      </c>
      <c r="AF972" t="s">
        <v>74</v>
      </c>
      <c r="AG972">
        <v>32</v>
      </c>
      <c r="AH972">
        <v>86</v>
      </c>
      <c r="AI972">
        <v>104</v>
      </c>
      <c r="AJ972">
        <v>0</v>
      </c>
      <c r="AK972">
        <v>23</v>
      </c>
      <c r="AL972" t="s">
        <v>854</v>
      </c>
      <c r="AM972" t="s">
        <v>855</v>
      </c>
      <c r="AN972" t="s">
        <v>856</v>
      </c>
      <c r="AO972" t="s">
        <v>7204</v>
      </c>
      <c r="AP972" t="s">
        <v>74</v>
      </c>
      <c r="AQ972" t="s">
        <v>74</v>
      </c>
      <c r="AR972" t="s">
        <v>7200</v>
      </c>
      <c r="AS972" t="s">
        <v>7205</v>
      </c>
      <c r="AT972" t="s">
        <v>11676</v>
      </c>
      <c r="AU972">
        <v>1997</v>
      </c>
      <c r="AV972">
        <v>36</v>
      </c>
      <c r="AW972" t="s">
        <v>694</v>
      </c>
      <c r="AX972" t="s">
        <v>74</v>
      </c>
      <c r="AY972" t="s">
        <v>74</v>
      </c>
      <c r="AZ972" t="s">
        <v>74</v>
      </c>
      <c r="BA972" t="s">
        <v>74</v>
      </c>
      <c r="BB972">
        <v>477</v>
      </c>
      <c r="BC972">
        <v>498</v>
      </c>
      <c r="BD972" t="s">
        <v>74</v>
      </c>
      <c r="BE972" t="s">
        <v>11677</v>
      </c>
      <c r="BF972" t="str">
        <f>HYPERLINK("http://dx.doi.org/10.1023/A:1005322332230","http://dx.doi.org/10.1023/A:1005322332230")</f>
        <v>http://dx.doi.org/10.1023/A:1005322332230</v>
      </c>
      <c r="BG972" t="s">
        <v>74</v>
      </c>
      <c r="BH972" t="s">
        <v>74</v>
      </c>
      <c r="BI972">
        <v>22</v>
      </c>
      <c r="BJ972" t="s">
        <v>5017</v>
      </c>
      <c r="BK972" t="s">
        <v>98</v>
      </c>
      <c r="BL972" t="s">
        <v>5018</v>
      </c>
      <c r="BM972" t="s">
        <v>11678</v>
      </c>
      <c r="BN972" t="s">
        <v>74</v>
      </c>
      <c r="BO972" t="s">
        <v>74</v>
      </c>
      <c r="BP972" t="s">
        <v>74</v>
      </c>
      <c r="BQ972" t="s">
        <v>74</v>
      </c>
      <c r="BR972" t="s">
        <v>101</v>
      </c>
      <c r="BS972" t="s">
        <v>11679</v>
      </c>
      <c r="BT972" t="str">
        <f>HYPERLINK("https%3A%2F%2Fwww.webofscience.com%2Fwos%2Fwoscc%2Ffull-record%2FWOS:A1997XR06700013","View Full Record in Web of Science")</f>
        <v>View Full Record in Web of Science</v>
      </c>
    </row>
    <row r="973" spans="1:72" x14ac:dyDescent="0.15">
      <c r="A973" t="s">
        <v>72</v>
      </c>
      <c r="B973" t="s">
        <v>11680</v>
      </c>
      <c r="C973" t="s">
        <v>74</v>
      </c>
      <c r="D973" t="s">
        <v>74</v>
      </c>
      <c r="E973" t="s">
        <v>74</v>
      </c>
      <c r="F973" t="s">
        <v>11680</v>
      </c>
      <c r="G973" t="s">
        <v>74</v>
      </c>
      <c r="H973" t="s">
        <v>74</v>
      </c>
      <c r="I973" t="s">
        <v>11681</v>
      </c>
      <c r="J973" t="s">
        <v>1494</v>
      </c>
      <c r="K973" t="s">
        <v>74</v>
      </c>
      <c r="L973" t="s">
        <v>74</v>
      </c>
      <c r="M973" t="s">
        <v>77</v>
      </c>
      <c r="N973" t="s">
        <v>78</v>
      </c>
      <c r="O973" t="s">
        <v>74</v>
      </c>
      <c r="P973" t="s">
        <v>74</v>
      </c>
      <c r="Q973" t="s">
        <v>74</v>
      </c>
      <c r="R973" t="s">
        <v>74</v>
      </c>
      <c r="S973" t="s">
        <v>74</v>
      </c>
      <c r="T973" t="s">
        <v>74</v>
      </c>
      <c r="U973" t="s">
        <v>11682</v>
      </c>
      <c r="V973" t="s">
        <v>11683</v>
      </c>
      <c r="W973" t="s">
        <v>11684</v>
      </c>
      <c r="X973" t="s">
        <v>11685</v>
      </c>
      <c r="Y973" t="s">
        <v>11686</v>
      </c>
      <c r="Z973" t="s">
        <v>74</v>
      </c>
      <c r="AA973" t="s">
        <v>11687</v>
      </c>
      <c r="AB973" t="s">
        <v>11688</v>
      </c>
      <c r="AC973" t="s">
        <v>74</v>
      </c>
      <c r="AD973" t="s">
        <v>74</v>
      </c>
      <c r="AE973" t="s">
        <v>74</v>
      </c>
      <c r="AF973" t="s">
        <v>74</v>
      </c>
      <c r="AG973">
        <v>19</v>
      </c>
      <c r="AH973">
        <v>124</v>
      </c>
      <c r="AI973">
        <v>131</v>
      </c>
      <c r="AJ973">
        <v>0</v>
      </c>
      <c r="AK973">
        <v>8</v>
      </c>
      <c r="AL973" t="s">
        <v>451</v>
      </c>
      <c r="AM973" t="s">
        <v>214</v>
      </c>
      <c r="AN973" t="s">
        <v>452</v>
      </c>
      <c r="AO973" t="s">
        <v>1503</v>
      </c>
      <c r="AP973" t="s">
        <v>1504</v>
      </c>
      <c r="AQ973" t="s">
        <v>74</v>
      </c>
      <c r="AR973" t="s">
        <v>1505</v>
      </c>
      <c r="AS973" t="s">
        <v>1506</v>
      </c>
      <c r="AT973" t="s">
        <v>11582</v>
      </c>
      <c r="AU973">
        <v>1997</v>
      </c>
      <c r="AV973">
        <v>44</v>
      </c>
      <c r="AW973">
        <v>7</v>
      </c>
      <c r="AX973" t="s">
        <v>74</v>
      </c>
      <c r="AY973" t="s">
        <v>74</v>
      </c>
      <c r="AZ973" t="s">
        <v>74</v>
      </c>
      <c r="BA973" t="s">
        <v>74</v>
      </c>
      <c r="BB973">
        <v>1185</v>
      </c>
      <c r="BC973">
        <v>1202</v>
      </c>
      <c r="BD973" t="s">
        <v>74</v>
      </c>
      <c r="BE973" t="s">
        <v>11689</v>
      </c>
      <c r="BF973" t="str">
        <f>HYPERLINK("http://dx.doi.org/10.1016/S0967-0637(96)00125-2","http://dx.doi.org/10.1016/S0967-0637(96)00125-2")</f>
        <v>http://dx.doi.org/10.1016/S0967-0637(96)00125-2</v>
      </c>
      <c r="BG973" t="s">
        <v>74</v>
      </c>
      <c r="BH973" t="s">
        <v>74</v>
      </c>
      <c r="BI973">
        <v>18</v>
      </c>
      <c r="BJ973" t="s">
        <v>97</v>
      </c>
      <c r="BK973" t="s">
        <v>98</v>
      </c>
      <c r="BL973" t="s">
        <v>97</v>
      </c>
      <c r="BM973" t="s">
        <v>11690</v>
      </c>
      <c r="BN973" t="s">
        <v>74</v>
      </c>
      <c r="BO973" t="s">
        <v>74</v>
      </c>
      <c r="BP973" t="s">
        <v>74</v>
      </c>
      <c r="BQ973" t="s">
        <v>74</v>
      </c>
      <c r="BR973" t="s">
        <v>101</v>
      </c>
      <c r="BS973" t="s">
        <v>11691</v>
      </c>
      <c r="BT973" t="str">
        <f>HYPERLINK("https%3A%2F%2Fwww.webofscience.com%2Fwos%2Fwoscc%2Ffull-record%2FWOS:A1997XW54800006","View Full Record in Web of Science")</f>
        <v>View Full Record in Web of Science</v>
      </c>
    </row>
    <row r="974" spans="1:72" x14ac:dyDescent="0.15">
      <c r="A974" t="s">
        <v>72</v>
      </c>
      <c r="B974" t="s">
        <v>11692</v>
      </c>
      <c r="C974" t="s">
        <v>74</v>
      </c>
      <c r="D974" t="s">
        <v>74</v>
      </c>
      <c r="E974" t="s">
        <v>74</v>
      </c>
      <c r="F974" t="s">
        <v>11692</v>
      </c>
      <c r="G974" t="s">
        <v>74</v>
      </c>
      <c r="H974" t="s">
        <v>74</v>
      </c>
      <c r="I974" t="s">
        <v>11693</v>
      </c>
      <c r="J974" t="s">
        <v>1494</v>
      </c>
      <c r="K974" t="s">
        <v>74</v>
      </c>
      <c r="L974" t="s">
        <v>74</v>
      </c>
      <c r="M974" t="s">
        <v>77</v>
      </c>
      <c r="N974" t="s">
        <v>78</v>
      </c>
      <c r="O974" t="s">
        <v>74</v>
      </c>
      <c r="P974" t="s">
        <v>74</v>
      </c>
      <c r="Q974" t="s">
        <v>74</v>
      </c>
      <c r="R974" t="s">
        <v>74</v>
      </c>
      <c r="S974" t="s">
        <v>74</v>
      </c>
      <c r="T974" t="s">
        <v>74</v>
      </c>
      <c r="U974" t="s">
        <v>11694</v>
      </c>
      <c r="V974" t="s">
        <v>11695</v>
      </c>
      <c r="W974" t="s">
        <v>11696</v>
      </c>
      <c r="X974" t="s">
        <v>3151</v>
      </c>
      <c r="Y974" t="s">
        <v>11697</v>
      </c>
      <c r="Z974" t="s">
        <v>74</v>
      </c>
      <c r="AA974" t="s">
        <v>11698</v>
      </c>
      <c r="AB974" t="s">
        <v>11699</v>
      </c>
      <c r="AC974" t="s">
        <v>74</v>
      </c>
      <c r="AD974" t="s">
        <v>74</v>
      </c>
      <c r="AE974" t="s">
        <v>74</v>
      </c>
      <c r="AF974" t="s">
        <v>74</v>
      </c>
      <c r="AG974">
        <v>48</v>
      </c>
      <c r="AH974">
        <v>122</v>
      </c>
      <c r="AI974">
        <v>126</v>
      </c>
      <c r="AJ974">
        <v>0</v>
      </c>
      <c r="AK974">
        <v>24</v>
      </c>
      <c r="AL974" t="s">
        <v>451</v>
      </c>
      <c r="AM974" t="s">
        <v>214</v>
      </c>
      <c r="AN974" t="s">
        <v>452</v>
      </c>
      <c r="AO974" t="s">
        <v>1503</v>
      </c>
      <c r="AP974" t="s">
        <v>74</v>
      </c>
      <c r="AQ974" t="s">
        <v>74</v>
      </c>
      <c r="AR974" t="s">
        <v>1505</v>
      </c>
      <c r="AS974" t="s">
        <v>1506</v>
      </c>
      <c r="AT974" t="s">
        <v>11582</v>
      </c>
      <c r="AU974">
        <v>1997</v>
      </c>
      <c r="AV974">
        <v>44</v>
      </c>
      <c r="AW974">
        <v>7</v>
      </c>
      <c r="AX974" t="s">
        <v>74</v>
      </c>
      <c r="AY974" t="s">
        <v>74</v>
      </c>
      <c r="AZ974" t="s">
        <v>74</v>
      </c>
      <c r="BA974" t="s">
        <v>74</v>
      </c>
      <c r="BB974">
        <v>1239</v>
      </c>
      <c r="BC974">
        <v>1253</v>
      </c>
      <c r="BD974" t="s">
        <v>74</v>
      </c>
      <c r="BE974" t="s">
        <v>11700</v>
      </c>
      <c r="BF974" t="str">
        <f>HYPERLINK("http://dx.doi.org/10.1016/S0967-0637(97)00021-6","http://dx.doi.org/10.1016/S0967-0637(97)00021-6")</f>
        <v>http://dx.doi.org/10.1016/S0967-0637(97)00021-6</v>
      </c>
      <c r="BG974" t="s">
        <v>74</v>
      </c>
      <c r="BH974" t="s">
        <v>74</v>
      </c>
      <c r="BI974">
        <v>15</v>
      </c>
      <c r="BJ974" t="s">
        <v>97</v>
      </c>
      <c r="BK974" t="s">
        <v>98</v>
      </c>
      <c r="BL974" t="s">
        <v>97</v>
      </c>
      <c r="BM974" t="s">
        <v>11690</v>
      </c>
      <c r="BN974" t="s">
        <v>74</v>
      </c>
      <c r="BO974" t="s">
        <v>74</v>
      </c>
      <c r="BP974" t="s">
        <v>74</v>
      </c>
      <c r="BQ974" t="s">
        <v>74</v>
      </c>
      <c r="BR974" t="s">
        <v>101</v>
      </c>
      <c r="BS974" t="s">
        <v>11701</v>
      </c>
      <c r="BT974" t="str">
        <f>HYPERLINK("https%3A%2F%2Fwww.webofscience.com%2Fwos%2Fwoscc%2Ffull-record%2FWOS:A1997XW54800008","View Full Record in Web of Science")</f>
        <v>View Full Record in Web of Science</v>
      </c>
    </row>
    <row r="975" spans="1:72" x14ac:dyDescent="0.15">
      <c r="A975" t="s">
        <v>72</v>
      </c>
      <c r="B975" t="s">
        <v>11702</v>
      </c>
      <c r="C975" t="s">
        <v>74</v>
      </c>
      <c r="D975" t="s">
        <v>74</v>
      </c>
      <c r="E975" t="s">
        <v>74</v>
      </c>
      <c r="F975" t="s">
        <v>11702</v>
      </c>
      <c r="G975" t="s">
        <v>74</v>
      </c>
      <c r="H975" t="s">
        <v>74</v>
      </c>
      <c r="I975" t="s">
        <v>11703</v>
      </c>
      <c r="J975" t="s">
        <v>11704</v>
      </c>
      <c r="K975" t="s">
        <v>74</v>
      </c>
      <c r="L975" t="s">
        <v>74</v>
      </c>
      <c r="M975" t="s">
        <v>77</v>
      </c>
      <c r="N975" t="s">
        <v>78</v>
      </c>
      <c r="O975" t="s">
        <v>74</v>
      </c>
      <c r="P975" t="s">
        <v>74</v>
      </c>
      <c r="Q975" t="s">
        <v>74</v>
      </c>
      <c r="R975" t="s">
        <v>74</v>
      </c>
      <c r="S975" t="s">
        <v>74</v>
      </c>
      <c r="T975" t="s">
        <v>11705</v>
      </c>
      <c r="U975" t="s">
        <v>11706</v>
      </c>
      <c r="V975" t="s">
        <v>11707</v>
      </c>
      <c r="W975" t="s">
        <v>11708</v>
      </c>
      <c r="X975" t="s">
        <v>11709</v>
      </c>
      <c r="Y975" t="s">
        <v>74</v>
      </c>
      <c r="Z975" t="s">
        <v>74</v>
      </c>
      <c r="AA975" t="s">
        <v>11710</v>
      </c>
      <c r="AB975" t="s">
        <v>11711</v>
      </c>
      <c r="AC975" t="s">
        <v>74</v>
      </c>
      <c r="AD975" t="s">
        <v>74</v>
      </c>
      <c r="AE975" t="s">
        <v>74</v>
      </c>
      <c r="AF975" t="s">
        <v>74</v>
      </c>
      <c r="AG975">
        <v>61</v>
      </c>
      <c r="AH975">
        <v>159</v>
      </c>
      <c r="AI975">
        <v>188</v>
      </c>
      <c r="AJ975">
        <v>2</v>
      </c>
      <c r="AK975">
        <v>68</v>
      </c>
      <c r="AL975" t="s">
        <v>1535</v>
      </c>
      <c r="AM975" t="s">
        <v>88</v>
      </c>
      <c r="AN975" t="s">
        <v>11712</v>
      </c>
      <c r="AO975" t="s">
        <v>11713</v>
      </c>
      <c r="AP975" t="s">
        <v>11714</v>
      </c>
      <c r="AQ975" t="s">
        <v>74</v>
      </c>
      <c r="AR975" t="s">
        <v>11704</v>
      </c>
      <c r="AS975" t="s">
        <v>1828</v>
      </c>
      <c r="AT975" t="s">
        <v>11582</v>
      </c>
      <c r="AU975">
        <v>1997</v>
      </c>
      <c r="AV975">
        <v>78</v>
      </c>
      <c r="AW975">
        <v>5</v>
      </c>
      <c r="AX975" t="s">
        <v>74</v>
      </c>
      <c r="AY975" t="s">
        <v>74</v>
      </c>
      <c r="AZ975" t="s">
        <v>74</v>
      </c>
      <c r="BA975" t="s">
        <v>74</v>
      </c>
      <c r="BB975">
        <v>1588</v>
      </c>
      <c r="BC975">
        <v>1596</v>
      </c>
      <c r="BD975" t="s">
        <v>74</v>
      </c>
      <c r="BE975" t="s">
        <v>74</v>
      </c>
      <c r="BF975" t="s">
        <v>74</v>
      </c>
      <c r="BG975" t="s">
        <v>74</v>
      </c>
      <c r="BH975" t="s">
        <v>74</v>
      </c>
      <c r="BI975">
        <v>9</v>
      </c>
      <c r="BJ975" t="s">
        <v>1828</v>
      </c>
      <c r="BK975" t="s">
        <v>98</v>
      </c>
      <c r="BL975" t="s">
        <v>1545</v>
      </c>
      <c r="BM975" t="s">
        <v>11715</v>
      </c>
      <c r="BN975" t="s">
        <v>74</v>
      </c>
      <c r="BO975" t="s">
        <v>74</v>
      </c>
      <c r="BP975" t="s">
        <v>74</v>
      </c>
      <c r="BQ975" t="s">
        <v>74</v>
      </c>
      <c r="BR975" t="s">
        <v>101</v>
      </c>
      <c r="BS975" t="s">
        <v>11716</v>
      </c>
      <c r="BT975" t="str">
        <f>HYPERLINK("https%3A%2F%2Fwww.webofscience.com%2Fwos%2Fwoscc%2Ffull-record%2FWOS:A1997XK92900028","View Full Record in Web of Science")</f>
        <v>View Full Record in Web of Science</v>
      </c>
    </row>
    <row r="976" spans="1:72" x14ac:dyDescent="0.15">
      <c r="A976" t="s">
        <v>72</v>
      </c>
      <c r="B976" t="s">
        <v>11717</v>
      </c>
      <c r="C976" t="s">
        <v>74</v>
      </c>
      <c r="D976" t="s">
        <v>74</v>
      </c>
      <c r="E976" t="s">
        <v>74</v>
      </c>
      <c r="F976" t="s">
        <v>11717</v>
      </c>
      <c r="G976" t="s">
        <v>74</v>
      </c>
      <c r="H976" t="s">
        <v>74</v>
      </c>
      <c r="I976" t="s">
        <v>11718</v>
      </c>
      <c r="J976" t="s">
        <v>11719</v>
      </c>
      <c r="K976" t="s">
        <v>74</v>
      </c>
      <c r="L976" t="s">
        <v>74</v>
      </c>
      <c r="M976" t="s">
        <v>77</v>
      </c>
      <c r="N976" t="s">
        <v>78</v>
      </c>
      <c r="O976" t="s">
        <v>74</v>
      </c>
      <c r="P976" t="s">
        <v>74</v>
      </c>
      <c r="Q976" t="s">
        <v>74</v>
      </c>
      <c r="R976" t="s">
        <v>74</v>
      </c>
      <c r="S976" t="s">
        <v>74</v>
      </c>
      <c r="T976" t="s">
        <v>11720</v>
      </c>
      <c r="U976" t="s">
        <v>11721</v>
      </c>
      <c r="V976" t="s">
        <v>11722</v>
      </c>
      <c r="W976" t="s">
        <v>74</v>
      </c>
      <c r="X976" t="s">
        <v>74</v>
      </c>
      <c r="Y976" t="s">
        <v>11723</v>
      </c>
      <c r="Z976" t="s">
        <v>74</v>
      </c>
      <c r="AA976" t="s">
        <v>74</v>
      </c>
      <c r="AB976" t="s">
        <v>74</v>
      </c>
      <c r="AC976" t="s">
        <v>74</v>
      </c>
      <c r="AD976" t="s">
        <v>74</v>
      </c>
      <c r="AE976" t="s">
        <v>74</v>
      </c>
      <c r="AF976" t="s">
        <v>74</v>
      </c>
      <c r="AG976">
        <v>13</v>
      </c>
      <c r="AH976">
        <v>41</v>
      </c>
      <c r="AI976">
        <v>42</v>
      </c>
      <c r="AJ976">
        <v>0</v>
      </c>
      <c r="AK976">
        <v>12</v>
      </c>
      <c r="AL976" t="s">
        <v>854</v>
      </c>
      <c r="AM976" t="s">
        <v>855</v>
      </c>
      <c r="AN976" t="s">
        <v>856</v>
      </c>
      <c r="AO976" t="s">
        <v>11724</v>
      </c>
      <c r="AP976" t="s">
        <v>74</v>
      </c>
      <c r="AQ976" t="s">
        <v>74</v>
      </c>
      <c r="AR976" t="s">
        <v>11725</v>
      </c>
      <c r="AS976" t="s">
        <v>11726</v>
      </c>
      <c r="AT976" t="s">
        <v>11582</v>
      </c>
      <c r="AU976">
        <v>1997</v>
      </c>
      <c r="AV976">
        <v>46</v>
      </c>
      <c r="AW976">
        <v>3</v>
      </c>
      <c r="AX976" t="s">
        <v>74</v>
      </c>
      <c r="AY976" t="s">
        <v>74</v>
      </c>
      <c r="AZ976" t="s">
        <v>74</v>
      </c>
      <c r="BA976" t="s">
        <v>74</v>
      </c>
      <c r="BB976">
        <v>221</v>
      </c>
      <c r="BC976">
        <v>232</v>
      </c>
      <c r="BD976" t="s">
        <v>74</v>
      </c>
      <c r="BE976" t="s">
        <v>11727</v>
      </c>
      <c r="BF976" t="str">
        <f>HYPERLINK("http://dx.doi.org/10.1023/A:1005766302869","http://dx.doi.org/10.1023/A:1005766302869")</f>
        <v>http://dx.doi.org/10.1023/A:1005766302869</v>
      </c>
      <c r="BG976" t="s">
        <v>74</v>
      </c>
      <c r="BH976" t="s">
        <v>74</v>
      </c>
      <c r="BI976">
        <v>12</v>
      </c>
      <c r="BJ976" t="s">
        <v>5050</v>
      </c>
      <c r="BK976" t="s">
        <v>98</v>
      </c>
      <c r="BL976" t="s">
        <v>1545</v>
      </c>
      <c r="BM976" t="s">
        <v>11728</v>
      </c>
      <c r="BN976" t="s">
        <v>74</v>
      </c>
      <c r="BO976" t="s">
        <v>74</v>
      </c>
      <c r="BP976" t="s">
        <v>74</v>
      </c>
      <c r="BQ976" t="s">
        <v>74</v>
      </c>
      <c r="BR976" t="s">
        <v>101</v>
      </c>
      <c r="BS976" t="s">
        <v>11729</v>
      </c>
      <c r="BT976" t="str">
        <f>HYPERLINK("https%3A%2F%2Fwww.webofscience.com%2Fwos%2Fwoscc%2Ffull-record%2FWOS:A1997XH65300003","View Full Record in Web of Science")</f>
        <v>View Full Record in Web of Science</v>
      </c>
    </row>
    <row r="977" spans="1:72" x14ac:dyDescent="0.15">
      <c r="A977" t="s">
        <v>72</v>
      </c>
      <c r="B977" t="s">
        <v>11730</v>
      </c>
      <c r="C977" t="s">
        <v>74</v>
      </c>
      <c r="D977" t="s">
        <v>74</v>
      </c>
      <c r="E977" t="s">
        <v>74</v>
      </c>
      <c r="F977" t="s">
        <v>11730</v>
      </c>
      <c r="G977" t="s">
        <v>74</v>
      </c>
      <c r="H977" t="s">
        <v>74</v>
      </c>
      <c r="I977" t="s">
        <v>11731</v>
      </c>
      <c r="J977" t="s">
        <v>11732</v>
      </c>
      <c r="K977" t="s">
        <v>74</v>
      </c>
      <c r="L977" t="s">
        <v>74</v>
      </c>
      <c r="M977" t="s">
        <v>77</v>
      </c>
      <c r="N977" t="s">
        <v>78</v>
      </c>
      <c r="O977" t="s">
        <v>74</v>
      </c>
      <c r="P977" t="s">
        <v>74</v>
      </c>
      <c r="Q977" t="s">
        <v>74</v>
      </c>
      <c r="R977" t="s">
        <v>74</v>
      </c>
      <c r="S977" t="s">
        <v>74</v>
      </c>
      <c r="T977" t="s">
        <v>11733</v>
      </c>
      <c r="U977" t="s">
        <v>11734</v>
      </c>
      <c r="V977" t="s">
        <v>11735</v>
      </c>
      <c r="W977" t="s">
        <v>11736</v>
      </c>
      <c r="X977" t="s">
        <v>11737</v>
      </c>
      <c r="Y977" t="s">
        <v>11738</v>
      </c>
      <c r="Z977" t="s">
        <v>74</v>
      </c>
      <c r="AA977" t="s">
        <v>11739</v>
      </c>
      <c r="AB977" t="s">
        <v>11740</v>
      </c>
      <c r="AC977" t="s">
        <v>74</v>
      </c>
      <c r="AD977" t="s">
        <v>74</v>
      </c>
      <c r="AE977" t="s">
        <v>74</v>
      </c>
      <c r="AF977" t="s">
        <v>74</v>
      </c>
      <c r="AG977">
        <v>63</v>
      </c>
      <c r="AH977">
        <v>15</v>
      </c>
      <c r="AI977">
        <v>18</v>
      </c>
      <c r="AJ977">
        <v>1</v>
      </c>
      <c r="AK977">
        <v>11</v>
      </c>
      <c r="AL977" t="s">
        <v>1469</v>
      </c>
      <c r="AM977" t="s">
        <v>201</v>
      </c>
      <c r="AN977" t="s">
        <v>10930</v>
      </c>
      <c r="AO977" t="s">
        <v>11741</v>
      </c>
      <c r="AP977" t="s">
        <v>74</v>
      </c>
      <c r="AQ977" t="s">
        <v>74</v>
      </c>
      <c r="AR977" t="s">
        <v>11742</v>
      </c>
      <c r="AS977" t="s">
        <v>11743</v>
      </c>
      <c r="AT977" t="s">
        <v>11582</v>
      </c>
      <c r="AU977">
        <v>1997</v>
      </c>
      <c r="AV977">
        <v>45</v>
      </c>
      <c r="AW977">
        <v>1</v>
      </c>
      <c r="AX977" t="s">
        <v>74</v>
      </c>
      <c r="AY977" t="s">
        <v>74</v>
      </c>
      <c r="AZ977" t="s">
        <v>74</v>
      </c>
      <c r="BA977" t="s">
        <v>74</v>
      </c>
      <c r="BB977">
        <v>17</v>
      </c>
      <c r="BC977">
        <v>25</v>
      </c>
      <c r="BD977" t="s">
        <v>74</v>
      </c>
      <c r="BE977" t="s">
        <v>11744</v>
      </c>
      <c r="BF977" t="str">
        <f>HYPERLINK("http://dx.doi.org/10.1006/ecss.1996.0166","http://dx.doi.org/10.1006/ecss.1996.0166")</f>
        <v>http://dx.doi.org/10.1006/ecss.1996.0166</v>
      </c>
      <c r="BG977" t="s">
        <v>74</v>
      </c>
      <c r="BH977" t="s">
        <v>74</v>
      </c>
      <c r="BI977">
        <v>9</v>
      </c>
      <c r="BJ977" t="s">
        <v>4525</v>
      </c>
      <c r="BK977" t="s">
        <v>98</v>
      </c>
      <c r="BL977" t="s">
        <v>4525</v>
      </c>
      <c r="BM977" t="s">
        <v>11745</v>
      </c>
      <c r="BN977" t="s">
        <v>74</v>
      </c>
      <c r="BO977" t="s">
        <v>74</v>
      </c>
      <c r="BP977" t="s">
        <v>74</v>
      </c>
      <c r="BQ977" t="s">
        <v>74</v>
      </c>
      <c r="BR977" t="s">
        <v>101</v>
      </c>
      <c r="BS977" t="s">
        <v>11746</v>
      </c>
      <c r="BT977" t="str">
        <f>HYPERLINK("https%3A%2F%2Fwww.webofscience.com%2Fwos%2Fwoscc%2Ffull-record%2FWOS:A1997XL58000002","View Full Record in Web of Science")</f>
        <v>View Full Record in Web of Science</v>
      </c>
    </row>
    <row r="978" spans="1:72" x14ac:dyDescent="0.15">
      <c r="A978" t="s">
        <v>72</v>
      </c>
      <c r="B978" t="s">
        <v>11747</v>
      </c>
      <c r="C978" t="s">
        <v>74</v>
      </c>
      <c r="D978" t="s">
        <v>74</v>
      </c>
      <c r="E978" t="s">
        <v>74</v>
      </c>
      <c r="F978" t="s">
        <v>11747</v>
      </c>
      <c r="G978" t="s">
        <v>74</v>
      </c>
      <c r="H978" t="s">
        <v>74</v>
      </c>
      <c r="I978" t="s">
        <v>11748</v>
      </c>
      <c r="J978" t="s">
        <v>11749</v>
      </c>
      <c r="K978" t="s">
        <v>74</v>
      </c>
      <c r="L978" t="s">
        <v>74</v>
      </c>
      <c r="M978" t="s">
        <v>77</v>
      </c>
      <c r="N978" t="s">
        <v>379</v>
      </c>
      <c r="O978" t="s">
        <v>11750</v>
      </c>
      <c r="P978" t="s">
        <v>11751</v>
      </c>
      <c r="Q978" t="s">
        <v>11752</v>
      </c>
      <c r="R978" t="s">
        <v>74</v>
      </c>
      <c r="S978" t="s">
        <v>74</v>
      </c>
      <c r="T978" t="s">
        <v>11753</v>
      </c>
      <c r="U978" t="s">
        <v>11754</v>
      </c>
      <c r="V978" t="s">
        <v>11755</v>
      </c>
      <c r="W978" t="s">
        <v>11756</v>
      </c>
      <c r="X978" t="s">
        <v>11757</v>
      </c>
      <c r="Y978" t="s">
        <v>11758</v>
      </c>
      <c r="Z978" t="s">
        <v>74</v>
      </c>
      <c r="AA978" t="s">
        <v>11759</v>
      </c>
      <c r="AB978" t="s">
        <v>11760</v>
      </c>
      <c r="AC978" t="s">
        <v>74</v>
      </c>
      <c r="AD978" t="s">
        <v>74</v>
      </c>
      <c r="AE978" t="s">
        <v>74</v>
      </c>
      <c r="AF978" t="s">
        <v>74</v>
      </c>
      <c r="AG978">
        <v>95</v>
      </c>
      <c r="AH978">
        <v>80</v>
      </c>
      <c r="AI978">
        <v>82</v>
      </c>
      <c r="AJ978">
        <v>0</v>
      </c>
      <c r="AK978">
        <v>40</v>
      </c>
      <c r="AL978" t="s">
        <v>812</v>
      </c>
      <c r="AM978" t="s">
        <v>813</v>
      </c>
      <c r="AN978" t="s">
        <v>814</v>
      </c>
      <c r="AO978" t="s">
        <v>11761</v>
      </c>
      <c r="AP978" t="s">
        <v>74</v>
      </c>
      <c r="AQ978" t="s">
        <v>74</v>
      </c>
      <c r="AR978" t="s">
        <v>11762</v>
      </c>
      <c r="AS978" t="s">
        <v>11763</v>
      </c>
      <c r="AT978" t="s">
        <v>11582</v>
      </c>
      <c r="AU978">
        <v>1997</v>
      </c>
      <c r="AV978">
        <v>20</v>
      </c>
      <c r="AW978" t="s">
        <v>694</v>
      </c>
      <c r="AX978" t="s">
        <v>74</v>
      </c>
      <c r="AY978" t="s">
        <v>74</v>
      </c>
      <c r="AZ978" t="s">
        <v>74</v>
      </c>
      <c r="BA978" t="s">
        <v>74</v>
      </c>
      <c r="BB978">
        <v>261</v>
      </c>
      <c r="BC978">
        <v>275</v>
      </c>
      <c r="BD978" t="s">
        <v>74</v>
      </c>
      <c r="BE978" t="s">
        <v>11764</v>
      </c>
      <c r="BF978" t="str">
        <f>HYPERLINK("http://dx.doi.org/10.1016/S0168-6445(97)00046-6","http://dx.doi.org/10.1016/S0168-6445(97)00046-6")</f>
        <v>http://dx.doi.org/10.1016/S0168-6445(97)00046-6</v>
      </c>
      <c r="BG978" t="s">
        <v>74</v>
      </c>
      <c r="BH978" t="s">
        <v>74</v>
      </c>
      <c r="BI978">
        <v>15</v>
      </c>
      <c r="BJ978" t="s">
        <v>1223</v>
      </c>
      <c r="BK978" t="s">
        <v>3943</v>
      </c>
      <c r="BL978" t="s">
        <v>1223</v>
      </c>
      <c r="BM978" t="s">
        <v>11765</v>
      </c>
      <c r="BN978">
        <v>9299706</v>
      </c>
      <c r="BO978" t="s">
        <v>100</v>
      </c>
      <c r="BP978" t="s">
        <v>74</v>
      </c>
      <c r="BQ978" t="s">
        <v>74</v>
      </c>
      <c r="BR978" t="s">
        <v>101</v>
      </c>
      <c r="BS978" t="s">
        <v>11766</v>
      </c>
      <c r="BT978" t="str">
        <f>HYPERLINK("https%3A%2F%2Fwww.webofscience.com%2Fwos%2Fwoscc%2Ffull-record%2FWOS:A1997XV02000008","View Full Record in Web of Science")</f>
        <v>View Full Record in Web of Science</v>
      </c>
    </row>
    <row r="979" spans="1:72" x14ac:dyDescent="0.15">
      <c r="A979" t="s">
        <v>72</v>
      </c>
      <c r="B979" t="s">
        <v>11767</v>
      </c>
      <c r="C979" t="s">
        <v>74</v>
      </c>
      <c r="D979" t="s">
        <v>74</v>
      </c>
      <c r="E979" t="s">
        <v>74</v>
      </c>
      <c r="F979" t="s">
        <v>11767</v>
      </c>
      <c r="G979" t="s">
        <v>74</v>
      </c>
      <c r="H979" t="s">
        <v>74</v>
      </c>
      <c r="I979" t="s">
        <v>11768</v>
      </c>
      <c r="J979" t="s">
        <v>11769</v>
      </c>
      <c r="K979" t="s">
        <v>74</v>
      </c>
      <c r="L979" t="s">
        <v>74</v>
      </c>
      <c r="M979" t="s">
        <v>77</v>
      </c>
      <c r="N979" t="s">
        <v>78</v>
      </c>
      <c r="O979" t="s">
        <v>74</v>
      </c>
      <c r="P979" t="s">
        <v>74</v>
      </c>
      <c r="Q979" t="s">
        <v>74</v>
      </c>
      <c r="R979" t="s">
        <v>74</v>
      </c>
      <c r="S979" t="s">
        <v>74</v>
      </c>
      <c r="T979" t="s">
        <v>74</v>
      </c>
      <c r="U979" t="s">
        <v>11770</v>
      </c>
      <c r="V979" t="s">
        <v>11771</v>
      </c>
      <c r="W979" t="s">
        <v>11772</v>
      </c>
      <c r="X979" t="s">
        <v>11773</v>
      </c>
      <c r="Y979" t="s">
        <v>11774</v>
      </c>
      <c r="Z979" t="s">
        <v>74</v>
      </c>
      <c r="AA979" t="s">
        <v>74</v>
      </c>
      <c r="AB979" t="s">
        <v>74</v>
      </c>
      <c r="AC979" t="s">
        <v>74</v>
      </c>
      <c r="AD979" t="s">
        <v>74</v>
      </c>
      <c r="AE979" t="s">
        <v>74</v>
      </c>
      <c r="AF979" t="s">
        <v>74</v>
      </c>
      <c r="AG979">
        <v>30</v>
      </c>
      <c r="AH979">
        <v>19</v>
      </c>
      <c r="AI979">
        <v>21</v>
      </c>
      <c r="AJ979">
        <v>0</v>
      </c>
      <c r="AK979">
        <v>5</v>
      </c>
      <c r="AL979" t="s">
        <v>11775</v>
      </c>
      <c r="AM979" t="s">
        <v>11776</v>
      </c>
      <c r="AN979" t="s">
        <v>11777</v>
      </c>
      <c r="AO979" t="s">
        <v>11778</v>
      </c>
      <c r="AP979" t="s">
        <v>74</v>
      </c>
      <c r="AQ979" t="s">
        <v>74</v>
      </c>
      <c r="AR979" t="s">
        <v>11779</v>
      </c>
      <c r="AS979" t="s">
        <v>11780</v>
      </c>
      <c r="AT979" t="s">
        <v>11582</v>
      </c>
      <c r="AU979">
        <v>1997</v>
      </c>
      <c r="AV979">
        <v>95</v>
      </c>
      <c r="AW979">
        <v>3</v>
      </c>
      <c r="AX979" t="s">
        <v>74</v>
      </c>
      <c r="AY979" t="s">
        <v>74</v>
      </c>
      <c r="AZ979" t="s">
        <v>74</v>
      </c>
      <c r="BA979" t="s">
        <v>74</v>
      </c>
      <c r="BB979">
        <v>431</v>
      </c>
      <c r="BC979">
        <v>444</v>
      </c>
      <c r="BD979" t="s">
        <v>74</v>
      </c>
      <c r="BE979" t="s">
        <v>74</v>
      </c>
      <c r="BF979" t="s">
        <v>74</v>
      </c>
      <c r="BG979" t="s">
        <v>74</v>
      </c>
      <c r="BH979" t="s">
        <v>74</v>
      </c>
      <c r="BI979">
        <v>14</v>
      </c>
      <c r="BJ979" t="s">
        <v>5891</v>
      </c>
      <c r="BK979" t="s">
        <v>98</v>
      </c>
      <c r="BL979" t="s">
        <v>5891</v>
      </c>
      <c r="BM979" t="s">
        <v>11781</v>
      </c>
      <c r="BN979" t="s">
        <v>74</v>
      </c>
      <c r="BO979" t="s">
        <v>74</v>
      </c>
      <c r="BP979" t="s">
        <v>74</v>
      </c>
      <c r="BQ979" t="s">
        <v>74</v>
      </c>
      <c r="BR979" t="s">
        <v>101</v>
      </c>
      <c r="BS979" t="s">
        <v>11782</v>
      </c>
      <c r="BT979" t="str">
        <f>HYPERLINK("https%3A%2F%2Fwww.webofscience.com%2Fwos%2Fwoscc%2Ffull-record%2FWOS:A1997XH00300003","View Full Record in Web of Science")</f>
        <v>View Full Record in Web of Science</v>
      </c>
    </row>
    <row r="980" spans="1:72" x14ac:dyDescent="0.15">
      <c r="A980" t="s">
        <v>72</v>
      </c>
      <c r="B980" t="s">
        <v>11783</v>
      </c>
      <c r="C980" t="s">
        <v>74</v>
      </c>
      <c r="D980" t="s">
        <v>74</v>
      </c>
      <c r="E980" t="s">
        <v>74</v>
      </c>
      <c r="F980" t="s">
        <v>11783</v>
      </c>
      <c r="G980" t="s">
        <v>74</v>
      </c>
      <c r="H980" t="s">
        <v>74</v>
      </c>
      <c r="I980" t="s">
        <v>11784</v>
      </c>
      <c r="J980" t="s">
        <v>444</v>
      </c>
      <c r="K980" t="s">
        <v>74</v>
      </c>
      <c r="L980" t="s">
        <v>74</v>
      </c>
      <c r="M980" t="s">
        <v>77</v>
      </c>
      <c r="N980" t="s">
        <v>78</v>
      </c>
      <c r="O980" t="s">
        <v>74</v>
      </c>
      <c r="P980" t="s">
        <v>74</v>
      </c>
      <c r="Q980" t="s">
        <v>74</v>
      </c>
      <c r="R980" t="s">
        <v>74</v>
      </c>
      <c r="S980" t="s">
        <v>74</v>
      </c>
      <c r="T980" t="s">
        <v>74</v>
      </c>
      <c r="U980" t="s">
        <v>11785</v>
      </c>
      <c r="V980" t="s">
        <v>11786</v>
      </c>
      <c r="W980" t="s">
        <v>74</v>
      </c>
      <c r="X980" t="s">
        <v>74</v>
      </c>
      <c r="Y980" t="s">
        <v>11787</v>
      </c>
      <c r="Z980" t="s">
        <v>74</v>
      </c>
      <c r="AA980" t="s">
        <v>74</v>
      </c>
      <c r="AB980" t="s">
        <v>11788</v>
      </c>
      <c r="AC980" t="s">
        <v>74</v>
      </c>
      <c r="AD980" t="s">
        <v>74</v>
      </c>
      <c r="AE980" t="s">
        <v>74</v>
      </c>
      <c r="AF980" t="s">
        <v>74</v>
      </c>
      <c r="AG980">
        <v>62</v>
      </c>
      <c r="AH980">
        <v>110</v>
      </c>
      <c r="AI980">
        <v>118</v>
      </c>
      <c r="AJ980">
        <v>1</v>
      </c>
      <c r="AK980">
        <v>14</v>
      </c>
      <c r="AL980" t="s">
        <v>451</v>
      </c>
      <c r="AM980" t="s">
        <v>214</v>
      </c>
      <c r="AN980" t="s">
        <v>7151</v>
      </c>
      <c r="AO980" t="s">
        <v>453</v>
      </c>
      <c r="AP980" t="s">
        <v>74</v>
      </c>
      <c r="AQ980" t="s">
        <v>74</v>
      </c>
      <c r="AR980" t="s">
        <v>454</v>
      </c>
      <c r="AS980" t="s">
        <v>455</v>
      </c>
      <c r="AT980" t="s">
        <v>11582</v>
      </c>
      <c r="AU980">
        <v>1997</v>
      </c>
      <c r="AV980">
        <v>61</v>
      </c>
      <c r="AW980">
        <v>13</v>
      </c>
      <c r="AX980" t="s">
        <v>74</v>
      </c>
      <c r="AY980" t="s">
        <v>74</v>
      </c>
      <c r="AZ980" t="s">
        <v>74</v>
      </c>
      <c r="BA980" t="s">
        <v>74</v>
      </c>
      <c r="BB980">
        <v>2749</v>
      </c>
      <c r="BC980">
        <v>2757</v>
      </c>
      <c r="BD980" t="s">
        <v>74</v>
      </c>
      <c r="BE980" t="s">
        <v>11789</v>
      </c>
      <c r="BF980" t="str">
        <f>HYPERLINK("http://dx.doi.org/10.1016/S0016-7037(97)00115-4","http://dx.doi.org/10.1016/S0016-7037(97)00115-4")</f>
        <v>http://dx.doi.org/10.1016/S0016-7037(97)00115-4</v>
      </c>
      <c r="BG980" t="s">
        <v>74</v>
      </c>
      <c r="BH980" t="s">
        <v>74</v>
      </c>
      <c r="BI980">
        <v>9</v>
      </c>
      <c r="BJ980" t="s">
        <v>143</v>
      </c>
      <c r="BK980" t="s">
        <v>98</v>
      </c>
      <c r="BL980" t="s">
        <v>143</v>
      </c>
      <c r="BM980" t="s">
        <v>11790</v>
      </c>
      <c r="BN980" t="s">
        <v>74</v>
      </c>
      <c r="BO980" t="s">
        <v>74</v>
      </c>
      <c r="BP980" t="s">
        <v>74</v>
      </c>
      <c r="BQ980" t="s">
        <v>74</v>
      </c>
      <c r="BR980" t="s">
        <v>101</v>
      </c>
      <c r="BS980" t="s">
        <v>11791</v>
      </c>
      <c r="BT980" t="str">
        <f>HYPERLINK("https%3A%2F%2Fwww.webofscience.com%2Fwos%2Fwoscc%2Ffull-record%2FWOS:A1997XN63700017","View Full Record in Web of Science")</f>
        <v>View Full Record in Web of Science</v>
      </c>
    </row>
    <row r="981" spans="1:72" x14ac:dyDescent="0.15">
      <c r="A981" t="s">
        <v>72</v>
      </c>
      <c r="B981" t="s">
        <v>11792</v>
      </c>
      <c r="C981" t="s">
        <v>74</v>
      </c>
      <c r="D981" t="s">
        <v>74</v>
      </c>
      <c r="E981" t="s">
        <v>74</v>
      </c>
      <c r="F981" t="s">
        <v>11792</v>
      </c>
      <c r="G981" t="s">
        <v>74</v>
      </c>
      <c r="H981" t="s">
        <v>74</v>
      </c>
      <c r="I981" t="s">
        <v>11793</v>
      </c>
      <c r="J981" t="s">
        <v>8424</v>
      </c>
      <c r="K981" t="s">
        <v>74</v>
      </c>
      <c r="L981" t="s">
        <v>74</v>
      </c>
      <c r="M981" t="s">
        <v>77</v>
      </c>
      <c r="N981" t="s">
        <v>78</v>
      </c>
      <c r="O981" t="s">
        <v>74</v>
      </c>
      <c r="P981" t="s">
        <v>74</v>
      </c>
      <c r="Q981" t="s">
        <v>74</v>
      </c>
      <c r="R981" t="s">
        <v>74</v>
      </c>
      <c r="S981" t="s">
        <v>74</v>
      </c>
      <c r="T981" t="s">
        <v>74</v>
      </c>
      <c r="U981" t="s">
        <v>11794</v>
      </c>
      <c r="V981" t="s">
        <v>11795</v>
      </c>
      <c r="W981" t="s">
        <v>11796</v>
      </c>
      <c r="X981" t="s">
        <v>6841</v>
      </c>
      <c r="Y981" t="s">
        <v>74</v>
      </c>
      <c r="Z981" t="s">
        <v>74</v>
      </c>
      <c r="AA981" t="s">
        <v>1399</v>
      </c>
      <c r="AB981" t="s">
        <v>74</v>
      </c>
      <c r="AC981" t="s">
        <v>74</v>
      </c>
      <c r="AD981" t="s">
        <v>74</v>
      </c>
      <c r="AE981" t="s">
        <v>74</v>
      </c>
      <c r="AF981" t="s">
        <v>74</v>
      </c>
      <c r="AG981">
        <v>47</v>
      </c>
      <c r="AH981">
        <v>31</v>
      </c>
      <c r="AI981">
        <v>34</v>
      </c>
      <c r="AJ981">
        <v>0</v>
      </c>
      <c r="AK981">
        <v>2</v>
      </c>
      <c r="AL981" t="s">
        <v>243</v>
      </c>
      <c r="AM981" t="s">
        <v>244</v>
      </c>
      <c r="AN981" t="s">
        <v>245</v>
      </c>
      <c r="AO981" t="s">
        <v>8432</v>
      </c>
      <c r="AP981" t="s">
        <v>11797</v>
      </c>
      <c r="AQ981" t="s">
        <v>74</v>
      </c>
      <c r="AR981" t="s">
        <v>8433</v>
      </c>
      <c r="AS981" t="s">
        <v>8434</v>
      </c>
      <c r="AT981" t="s">
        <v>11582</v>
      </c>
      <c r="AU981">
        <v>1997</v>
      </c>
      <c r="AV981">
        <v>134</v>
      </c>
      <c r="AW981">
        <v>4</v>
      </c>
      <c r="AX981" t="s">
        <v>74</v>
      </c>
      <c r="AY981" t="s">
        <v>74</v>
      </c>
      <c r="AZ981" t="s">
        <v>74</v>
      </c>
      <c r="BA981" t="s">
        <v>74</v>
      </c>
      <c r="BB981">
        <v>507</v>
      </c>
      <c r="BC981">
        <v>522</v>
      </c>
      <c r="BD981" t="s">
        <v>74</v>
      </c>
      <c r="BE981" t="s">
        <v>11798</v>
      </c>
      <c r="BF981" t="str">
        <f>HYPERLINK("http://dx.doi.org/10.1017/S0016756897007437","http://dx.doi.org/10.1017/S0016756897007437")</f>
        <v>http://dx.doi.org/10.1017/S0016756897007437</v>
      </c>
      <c r="BG981" t="s">
        <v>74</v>
      </c>
      <c r="BH981" t="s">
        <v>74</v>
      </c>
      <c r="BI981">
        <v>16</v>
      </c>
      <c r="BJ981" t="s">
        <v>769</v>
      </c>
      <c r="BK981" t="s">
        <v>98</v>
      </c>
      <c r="BL981" t="s">
        <v>471</v>
      </c>
      <c r="BM981" t="s">
        <v>11799</v>
      </c>
      <c r="BN981" t="s">
        <v>74</v>
      </c>
      <c r="BO981" t="s">
        <v>74</v>
      </c>
      <c r="BP981" t="s">
        <v>74</v>
      </c>
      <c r="BQ981" t="s">
        <v>74</v>
      </c>
      <c r="BR981" t="s">
        <v>101</v>
      </c>
      <c r="BS981" t="s">
        <v>11800</v>
      </c>
      <c r="BT981" t="str">
        <f>HYPERLINK("https%3A%2F%2Fwww.webofscience.com%2Fwos%2Fwoscc%2Ffull-record%2FWOS:A1997XR92000005","View Full Record in Web of Science")</f>
        <v>View Full Record in Web of Science</v>
      </c>
    </row>
    <row r="982" spans="1:72" x14ac:dyDescent="0.15">
      <c r="A982" t="s">
        <v>72</v>
      </c>
      <c r="B982" t="s">
        <v>11801</v>
      </c>
      <c r="C982" t="s">
        <v>74</v>
      </c>
      <c r="D982" t="s">
        <v>74</v>
      </c>
      <c r="E982" t="s">
        <v>74</v>
      </c>
      <c r="F982" t="s">
        <v>11801</v>
      </c>
      <c r="G982" t="s">
        <v>74</v>
      </c>
      <c r="H982" t="s">
        <v>74</v>
      </c>
      <c r="I982" t="s">
        <v>11802</v>
      </c>
      <c r="J982" t="s">
        <v>4410</v>
      </c>
      <c r="K982" t="s">
        <v>74</v>
      </c>
      <c r="L982" t="s">
        <v>74</v>
      </c>
      <c r="M982" t="s">
        <v>77</v>
      </c>
      <c r="N982" t="s">
        <v>78</v>
      </c>
      <c r="O982" t="s">
        <v>74</v>
      </c>
      <c r="P982" t="s">
        <v>74</v>
      </c>
      <c r="Q982" t="s">
        <v>74</v>
      </c>
      <c r="R982" t="s">
        <v>74</v>
      </c>
      <c r="S982" t="s">
        <v>74</v>
      </c>
      <c r="T982" t="s">
        <v>74</v>
      </c>
      <c r="U982" t="s">
        <v>11803</v>
      </c>
      <c r="V982" t="s">
        <v>11804</v>
      </c>
      <c r="W982" t="s">
        <v>11805</v>
      </c>
      <c r="X982" t="s">
        <v>3354</v>
      </c>
      <c r="Y982" t="s">
        <v>11806</v>
      </c>
      <c r="Z982" t="s">
        <v>74</v>
      </c>
      <c r="AA982" t="s">
        <v>11807</v>
      </c>
      <c r="AB982" t="s">
        <v>11808</v>
      </c>
      <c r="AC982" t="s">
        <v>74</v>
      </c>
      <c r="AD982" t="s">
        <v>74</v>
      </c>
      <c r="AE982" t="s">
        <v>74</v>
      </c>
      <c r="AF982" t="s">
        <v>74</v>
      </c>
      <c r="AG982">
        <v>93</v>
      </c>
      <c r="AH982">
        <v>26</v>
      </c>
      <c r="AI982">
        <v>28</v>
      </c>
      <c r="AJ982">
        <v>0</v>
      </c>
      <c r="AK982">
        <v>4</v>
      </c>
      <c r="AL982" t="s">
        <v>485</v>
      </c>
      <c r="AM982" t="s">
        <v>486</v>
      </c>
      <c r="AN982" t="s">
        <v>487</v>
      </c>
      <c r="AO982" t="s">
        <v>4419</v>
      </c>
      <c r="AP982" t="s">
        <v>11809</v>
      </c>
      <c r="AQ982" t="s">
        <v>74</v>
      </c>
      <c r="AR982" t="s">
        <v>4420</v>
      </c>
      <c r="AS982" t="s">
        <v>4421</v>
      </c>
      <c r="AT982" t="s">
        <v>11582</v>
      </c>
      <c r="AU982">
        <v>1997</v>
      </c>
      <c r="AV982">
        <v>109</v>
      </c>
      <c r="AW982">
        <v>7</v>
      </c>
      <c r="AX982" t="s">
        <v>74</v>
      </c>
      <c r="AY982" t="s">
        <v>74</v>
      </c>
      <c r="AZ982" t="s">
        <v>74</v>
      </c>
      <c r="BA982" t="s">
        <v>74</v>
      </c>
      <c r="BB982">
        <v>825</v>
      </c>
      <c r="BC982">
        <v>840</v>
      </c>
      <c r="BD982" t="s">
        <v>74</v>
      </c>
      <c r="BE982" t="s">
        <v>11810</v>
      </c>
      <c r="BF982" t="str">
        <f>HYPERLINK("http://dx.doi.org/10.1130/0016-7606(1997)109&lt;0825:ACFSGA&gt;2.3.CO;2","http://dx.doi.org/10.1130/0016-7606(1997)109&lt;0825:ACFSGA&gt;2.3.CO;2")</f>
        <v>http://dx.doi.org/10.1130/0016-7606(1997)109&lt;0825:ACFSGA&gt;2.3.CO;2</v>
      </c>
      <c r="BG982" t="s">
        <v>74</v>
      </c>
      <c r="BH982" t="s">
        <v>74</v>
      </c>
      <c r="BI982">
        <v>16</v>
      </c>
      <c r="BJ982" t="s">
        <v>769</v>
      </c>
      <c r="BK982" t="s">
        <v>98</v>
      </c>
      <c r="BL982" t="s">
        <v>471</v>
      </c>
      <c r="BM982" t="s">
        <v>11811</v>
      </c>
      <c r="BN982" t="s">
        <v>74</v>
      </c>
      <c r="BO982" t="s">
        <v>74</v>
      </c>
      <c r="BP982" t="s">
        <v>74</v>
      </c>
      <c r="BQ982" t="s">
        <v>74</v>
      </c>
      <c r="BR982" t="s">
        <v>101</v>
      </c>
      <c r="BS982" t="s">
        <v>11812</v>
      </c>
      <c r="BT982" t="str">
        <f>HYPERLINK("https%3A%2F%2Fwww.webofscience.com%2Fwos%2Fwoscc%2Ffull-record%2FWOS:A1997XL02200004","View Full Record in Web of Science")</f>
        <v>View Full Record in Web of Science</v>
      </c>
    </row>
    <row r="983" spans="1:72" x14ac:dyDescent="0.15">
      <c r="A983" t="s">
        <v>72</v>
      </c>
      <c r="B983" t="s">
        <v>11813</v>
      </c>
      <c r="C983" t="s">
        <v>74</v>
      </c>
      <c r="D983" t="s">
        <v>74</v>
      </c>
      <c r="E983" t="s">
        <v>74</v>
      </c>
      <c r="F983" t="s">
        <v>11813</v>
      </c>
      <c r="G983" t="s">
        <v>74</v>
      </c>
      <c r="H983" t="s">
        <v>74</v>
      </c>
      <c r="I983" t="s">
        <v>11814</v>
      </c>
      <c r="J983" t="s">
        <v>461</v>
      </c>
      <c r="K983" t="s">
        <v>74</v>
      </c>
      <c r="L983" t="s">
        <v>74</v>
      </c>
      <c r="M983" t="s">
        <v>77</v>
      </c>
      <c r="N983" t="s">
        <v>78</v>
      </c>
      <c r="O983" t="s">
        <v>74</v>
      </c>
      <c r="P983" t="s">
        <v>74</v>
      </c>
      <c r="Q983" t="s">
        <v>74</v>
      </c>
      <c r="R983" t="s">
        <v>74</v>
      </c>
      <c r="S983" t="s">
        <v>74</v>
      </c>
      <c r="T983" t="s">
        <v>74</v>
      </c>
      <c r="U983" t="s">
        <v>11815</v>
      </c>
      <c r="V983" t="s">
        <v>11816</v>
      </c>
      <c r="W983" t="s">
        <v>11817</v>
      </c>
      <c r="X983" t="s">
        <v>5578</v>
      </c>
      <c r="Y983" t="s">
        <v>11818</v>
      </c>
      <c r="Z983" t="s">
        <v>74</v>
      </c>
      <c r="AA983" t="s">
        <v>11819</v>
      </c>
      <c r="AB983" t="s">
        <v>11820</v>
      </c>
      <c r="AC983" t="s">
        <v>74</v>
      </c>
      <c r="AD983" t="s">
        <v>74</v>
      </c>
      <c r="AE983" t="s">
        <v>74</v>
      </c>
      <c r="AF983" t="s">
        <v>74</v>
      </c>
      <c r="AG983">
        <v>24</v>
      </c>
      <c r="AH983">
        <v>53</v>
      </c>
      <c r="AI983">
        <v>72</v>
      </c>
      <c r="AJ983">
        <v>0</v>
      </c>
      <c r="AK983">
        <v>17</v>
      </c>
      <c r="AL983" t="s">
        <v>9302</v>
      </c>
      <c r="AM983" t="s">
        <v>486</v>
      </c>
      <c r="AN983" t="s">
        <v>9303</v>
      </c>
      <c r="AO983" t="s">
        <v>470</v>
      </c>
      <c r="AP983" t="s">
        <v>74</v>
      </c>
      <c r="AQ983" t="s">
        <v>74</v>
      </c>
      <c r="AR983" t="s">
        <v>461</v>
      </c>
      <c r="AS983" t="s">
        <v>471</v>
      </c>
      <c r="AT983" t="s">
        <v>11582</v>
      </c>
      <c r="AU983">
        <v>1997</v>
      </c>
      <c r="AV983">
        <v>25</v>
      </c>
      <c r="AW983">
        <v>7</v>
      </c>
      <c r="AX983" t="s">
        <v>74</v>
      </c>
      <c r="AY983" t="s">
        <v>74</v>
      </c>
      <c r="AZ983" t="s">
        <v>74</v>
      </c>
      <c r="BA983" t="s">
        <v>74</v>
      </c>
      <c r="BB983">
        <v>587</v>
      </c>
      <c r="BC983">
        <v>590</v>
      </c>
      <c r="BD983" t="s">
        <v>74</v>
      </c>
      <c r="BE983" t="s">
        <v>11821</v>
      </c>
      <c r="BF983" t="str">
        <f>HYPERLINK("http://dx.doi.org/10.1130/0091-7613(1997)025&lt;0587:ACWCDE&gt;2.3.CO;2","http://dx.doi.org/10.1130/0091-7613(1997)025&lt;0587:ACWCDE&gt;2.3.CO;2")</f>
        <v>http://dx.doi.org/10.1130/0091-7613(1997)025&lt;0587:ACWCDE&gt;2.3.CO;2</v>
      </c>
      <c r="BG983" t="s">
        <v>74</v>
      </c>
      <c r="BH983" t="s">
        <v>74</v>
      </c>
      <c r="BI983">
        <v>4</v>
      </c>
      <c r="BJ983" t="s">
        <v>471</v>
      </c>
      <c r="BK983" t="s">
        <v>98</v>
      </c>
      <c r="BL983" t="s">
        <v>471</v>
      </c>
      <c r="BM983" t="s">
        <v>11822</v>
      </c>
      <c r="BN983" t="s">
        <v>74</v>
      </c>
      <c r="BO983" t="s">
        <v>74</v>
      </c>
      <c r="BP983" t="s">
        <v>74</v>
      </c>
      <c r="BQ983" t="s">
        <v>74</v>
      </c>
      <c r="BR983" t="s">
        <v>101</v>
      </c>
      <c r="BS983" t="s">
        <v>11823</v>
      </c>
      <c r="BT983" t="str">
        <f>HYPERLINK("https%3A%2F%2Fwww.webofscience.com%2Fwos%2Fwoscc%2Ffull-record%2FWOS:A1997XL02100003","View Full Record in Web of Science")</f>
        <v>View Full Record in Web of Science</v>
      </c>
    </row>
    <row r="984" spans="1:72" x14ac:dyDescent="0.15">
      <c r="A984" t="s">
        <v>72</v>
      </c>
      <c r="B984" t="s">
        <v>2540</v>
      </c>
      <c r="C984" t="s">
        <v>74</v>
      </c>
      <c r="D984" t="s">
        <v>74</v>
      </c>
      <c r="E984" t="s">
        <v>74</v>
      </c>
      <c r="F984" t="s">
        <v>2540</v>
      </c>
      <c r="G984" t="s">
        <v>74</v>
      </c>
      <c r="H984" t="s">
        <v>74</v>
      </c>
      <c r="I984" t="s">
        <v>11824</v>
      </c>
      <c r="J984" t="s">
        <v>4427</v>
      </c>
      <c r="K984" t="s">
        <v>74</v>
      </c>
      <c r="L984" t="s">
        <v>74</v>
      </c>
      <c r="M984" t="s">
        <v>4428</v>
      </c>
      <c r="N984" t="s">
        <v>78</v>
      </c>
      <c r="O984" t="s">
        <v>74</v>
      </c>
      <c r="P984" t="s">
        <v>74</v>
      </c>
      <c r="Q984" t="s">
        <v>74</v>
      </c>
      <c r="R984" t="s">
        <v>74</v>
      </c>
      <c r="S984" t="s">
        <v>74</v>
      </c>
      <c r="T984" t="s">
        <v>74</v>
      </c>
      <c r="U984" t="s">
        <v>11825</v>
      </c>
      <c r="V984" t="s">
        <v>74</v>
      </c>
      <c r="W984" t="s">
        <v>74</v>
      </c>
      <c r="X984" t="s">
        <v>74</v>
      </c>
      <c r="Y984" t="s">
        <v>11826</v>
      </c>
      <c r="Z984" t="s">
        <v>74</v>
      </c>
      <c r="AA984" t="s">
        <v>11827</v>
      </c>
      <c r="AB984" t="s">
        <v>74</v>
      </c>
      <c r="AC984" t="s">
        <v>74</v>
      </c>
      <c r="AD984" t="s">
        <v>74</v>
      </c>
      <c r="AE984" t="s">
        <v>74</v>
      </c>
      <c r="AF984" t="s">
        <v>74</v>
      </c>
      <c r="AG984">
        <v>13</v>
      </c>
      <c r="AH984">
        <v>0</v>
      </c>
      <c r="AI984">
        <v>0</v>
      </c>
      <c r="AJ984">
        <v>0</v>
      </c>
      <c r="AK984">
        <v>0</v>
      </c>
      <c r="AL984" t="s">
        <v>4431</v>
      </c>
      <c r="AM984" t="s">
        <v>4432</v>
      </c>
      <c r="AN984" t="s">
        <v>4433</v>
      </c>
      <c r="AO984" t="s">
        <v>4434</v>
      </c>
      <c r="AP984" t="s">
        <v>74</v>
      </c>
      <c r="AQ984" t="s">
        <v>74</v>
      </c>
      <c r="AR984" t="s">
        <v>4435</v>
      </c>
      <c r="AS984" t="s">
        <v>4436</v>
      </c>
      <c r="AT984" t="s">
        <v>11676</v>
      </c>
      <c r="AU984">
        <v>1997</v>
      </c>
      <c r="AV984">
        <v>37</v>
      </c>
      <c r="AW984">
        <v>4</v>
      </c>
      <c r="AX984" t="s">
        <v>74</v>
      </c>
      <c r="AY984" t="s">
        <v>74</v>
      </c>
      <c r="AZ984" t="s">
        <v>74</v>
      </c>
      <c r="BA984" t="s">
        <v>74</v>
      </c>
      <c r="BB984">
        <v>49</v>
      </c>
      <c r="BC984">
        <v>62</v>
      </c>
      <c r="BD984" t="s">
        <v>74</v>
      </c>
      <c r="BE984" t="s">
        <v>74</v>
      </c>
      <c r="BF984" t="s">
        <v>74</v>
      </c>
      <c r="BG984" t="s">
        <v>74</v>
      </c>
      <c r="BH984" t="s">
        <v>74</v>
      </c>
      <c r="BI984">
        <v>14</v>
      </c>
      <c r="BJ984" t="s">
        <v>143</v>
      </c>
      <c r="BK984" t="s">
        <v>98</v>
      </c>
      <c r="BL984" t="s">
        <v>143</v>
      </c>
      <c r="BM984" t="s">
        <v>11828</v>
      </c>
      <c r="BN984" t="s">
        <v>74</v>
      </c>
      <c r="BO984" t="s">
        <v>74</v>
      </c>
      <c r="BP984" t="s">
        <v>74</v>
      </c>
      <c r="BQ984" t="s">
        <v>74</v>
      </c>
      <c r="BR984" t="s">
        <v>101</v>
      </c>
      <c r="BS984" t="s">
        <v>11829</v>
      </c>
      <c r="BT984" t="str">
        <f>HYPERLINK("https%3A%2F%2Fwww.webofscience.com%2Fwos%2Fwoscc%2Ffull-record%2FWOS:A1997XX38900007","View Full Record in Web of Science")</f>
        <v>View Full Record in Web of Science</v>
      </c>
    </row>
    <row r="985" spans="1:72" x14ac:dyDescent="0.15">
      <c r="A985" t="s">
        <v>72</v>
      </c>
      <c r="B985" t="s">
        <v>11830</v>
      </c>
      <c r="C985" t="s">
        <v>74</v>
      </c>
      <c r="D985" t="s">
        <v>74</v>
      </c>
      <c r="E985" t="s">
        <v>74</v>
      </c>
      <c r="F985" t="s">
        <v>11830</v>
      </c>
      <c r="G985" t="s">
        <v>74</v>
      </c>
      <c r="H985" t="s">
        <v>74</v>
      </c>
      <c r="I985" t="s">
        <v>11831</v>
      </c>
      <c r="J985" t="s">
        <v>11832</v>
      </c>
      <c r="K985" t="s">
        <v>74</v>
      </c>
      <c r="L985" t="s">
        <v>74</v>
      </c>
      <c r="M985" t="s">
        <v>77</v>
      </c>
      <c r="N985" t="s">
        <v>78</v>
      </c>
      <c r="O985" t="s">
        <v>74</v>
      </c>
      <c r="P985" t="s">
        <v>74</v>
      </c>
      <c r="Q985" t="s">
        <v>74</v>
      </c>
      <c r="R985" t="s">
        <v>74</v>
      </c>
      <c r="S985" t="s">
        <v>74</v>
      </c>
      <c r="T985" t="s">
        <v>74</v>
      </c>
      <c r="U985" t="s">
        <v>11833</v>
      </c>
      <c r="V985" t="s">
        <v>11834</v>
      </c>
      <c r="W985" t="s">
        <v>11835</v>
      </c>
      <c r="X985" t="s">
        <v>672</v>
      </c>
      <c r="Y985" t="s">
        <v>11836</v>
      </c>
      <c r="Z985" t="s">
        <v>74</v>
      </c>
      <c r="AA985" t="s">
        <v>74</v>
      </c>
      <c r="AB985" t="s">
        <v>11837</v>
      </c>
      <c r="AC985" t="s">
        <v>74</v>
      </c>
      <c r="AD985" t="s">
        <v>74</v>
      </c>
      <c r="AE985" t="s">
        <v>74</v>
      </c>
      <c r="AF985" t="s">
        <v>74</v>
      </c>
      <c r="AG985">
        <v>21</v>
      </c>
      <c r="AH985">
        <v>35</v>
      </c>
      <c r="AI985">
        <v>38</v>
      </c>
      <c r="AJ985">
        <v>0</v>
      </c>
      <c r="AK985">
        <v>10</v>
      </c>
      <c r="AL985" t="s">
        <v>11838</v>
      </c>
      <c r="AM985" t="s">
        <v>11839</v>
      </c>
      <c r="AN985" t="s">
        <v>11840</v>
      </c>
      <c r="AO985" t="s">
        <v>11841</v>
      </c>
      <c r="AP985" t="s">
        <v>74</v>
      </c>
      <c r="AQ985" t="s">
        <v>74</v>
      </c>
      <c r="AR985" t="s">
        <v>11832</v>
      </c>
      <c r="AS985" t="s">
        <v>11842</v>
      </c>
      <c r="AT985" t="s">
        <v>11582</v>
      </c>
      <c r="AU985">
        <v>1997</v>
      </c>
      <c r="AV985">
        <v>139</v>
      </c>
      <c r="AW985">
        <v>3</v>
      </c>
      <c r="AX985" t="s">
        <v>74</v>
      </c>
      <c r="AY985" t="s">
        <v>74</v>
      </c>
      <c r="AZ985" t="s">
        <v>74</v>
      </c>
      <c r="BA985" t="s">
        <v>74</v>
      </c>
      <c r="BB985">
        <v>452</v>
      </c>
      <c r="BC985">
        <v>460</v>
      </c>
      <c r="BD985" t="s">
        <v>74</v>
      </c>
      <c r="BE985" t="s">
        <v>11843</v>
      </c>
      <c r="BF985" t="str">
        <f>HYPERLINK("http://dx.doi.org/10.1111/j.1474-919X.1997.tb04658.x","http://dx.doi.org/10.1111/j.1474-919X.1997.tb04658.x")</f>
        <v>http://dx.doi.org/10.1111/j.1474-919X.1997.tb04658.x</v>
      </c>
      <c r="BG985" t="s">
        <v>74</v>
      </c>
      <c r="BH985" t="s">
        <v>74</v>
      </c>
      <c r="BI985">
        <v>9</v>
      </c>
      <c r="BJ985" t="s">
        <v>439</v>
      </c>
      <c r="BK985" t="s">
        <v>98</v>
      </c>
      <c r="BL985" t="s">
        <v>417</v>
      </c>
      <c r="BM985" t="s">
        <v>11844</v>
      </c>
      <c r="BN985" t="s">
        <v>74</v>
      </c>
      <c r="BO985" t="s">
        <v>74</v>
      </c>
      <c r="BP985" t="s">
        <v>74</v>
      </c>
      <c r="BQ985" t="s">
        <v>74</v>
      </c>
      <c r="BR985" t="s">
        <v>101</v>
      </c>
      <c r="BS985" t="s">
        <v>11845</v>
      </c>
      <c r="BT985" t="str">
        <f>HYPERLINK("https%3A%2F%2Fwww.webofscience.com%2Fwos%2Fwoscc%2Ffull-record%2FWOS:A1997XL05200003","View Full Record in Web of Science")</f>
        <v>View Full Record in Web of Science</v>
      </c>
    </row>
    <row r="986" spans="1:72" x14ac:dyDescent="0.15">
      <c r="A986" t="s">
        <v>72</v>
      </c>
      <c r="B986" t="s">
        <v>11846</v>
      </c>
      <c r="C986" t="s">
        <v>74</v>
      </c>
      <c r="D986" t="s">
        <v>74</v>
      </c>
      <c r="E986" t="s">
        <v>74</v>
      </c>
      <c r="F986" t="s">
        <v>11846</v>
      </c>
      <c r="G986" t="s">
        <v>74</v>
      </c>
      <c r="H986" t="s">
        <v>74</v>
      </c>
      <c r="I986" t="s">
        <v>11847</v>
      </c>
      <c r="J986" t="s">
        <v>11832</v>
      </c>
      <c r="K986" t="s">
        <v>74</v>
      </c>
      <c r="L986" t="s">
        <v>74</v>
      </c>
      <c r="M986" t="s">
        <v>77</v>
      </c>
      <c r="N986" t="s">
        <v>78</v>
      </c>
      <c r="O986" t="s">
        <v>74</v>
      </c>
      <c r="P986" t="s">
        <v>74</v>
      </c>
      <c r="Q986" t="s">
        <v>74</v>
      </c>
      <c r="R986" t="s">
        <v>74</v>
      </c>
      <c r="S986" t="s">
        <v>74</v>
      </c>
      <c r="T986" t="s">
        <v>74</v>
      </c>
      <c r="U986" t="s">
        <v>11848</v>
      </c>
      <c r="V986" t="s">
        <v>11849</v>
      </c>
      <c r="W986" t="s">
        <v>11850</v>
      </c>
      <c r="X986" t="s">
        <v>11851</v>
      </c>
      <c r="Y986" t="s">
        <v>11852</v>
      </c>
      <c r="Z986" t="s">
        <v>74</v>
      </c>
      <c r="AA986" t="s">
        <v>74</v>
      </c>
      <c r="AB986" t="s">
        <v>8350</v>
      </c>
      <c r="AC986" t="s">
        <v>74</v>
      </c>
      <c r="AD986" t="s">
        <v>74</v>
      </c>
      <c r="AE986" t="s">
        <v>74</v>
      </c>
      <c r="AF986" t="s">
        <v>74</v>
      </c>
      <c r="AG986">
        <v>27</v>
      </c>
      <c r="AH986">
        <v>77</v>
      </c>
      <c r="AI986">
        <v>80</v>
      </c>
      <c r="AJ986">
        <v>1</v>
      </c>
      <c r="AK986">
        <v>20</v>
      </c>
      <c r="AL986" t="s">
        <v>11838</v>
      </c>
      <c r="AM986" t="s">
        <v>11839</v>
      </c>
      <c r="AN986" t="s">
        <v>11840</v>
      </c>
      <c r="AO986" t="s">
        <v>11841</v>
      </c>
      <c r="AP986" t="s">
        <v>74</v>
      </c>
      <c r="AQ986" t="s">
        <v>74</v>
      </c>
      <c r="AR986" t="s">
        <v>11832</v>
      </c>
      <c r="AS986" t="s">
        <v>11842</v>
      </c>
      <c r="AT986" t="s">
        <v>11582</v>
      </c>
      <c r="AU986">
        <v>1997</v>
      </c>
      <c r="AV986">
        <v>139</v>
      </c>
      <c r="AW986">
        <v>3</v>
      </c>
      <c r="AX986" t="s">
        <v>74</v>
      </c>
      <c r="AY986" t="s">
        <v>74</v>
      </c>
      <c r="AZ986" t="s">
        <v>74</v>
      </c>
      <c r="BA986" t="s">
        <v>74</v>
      </c>
      <c r="BB986">
        <v>504</v>
      </c>
      <c r="BC986">
        <v>512</v>
      </c>
      <c r="BD986" t="s">
        <v>74</v>
      </c>
      <c r="BE986" t="s">
        <v>11853</v>
      </c>
      <c r="BF986" t="str">
        <f>HYPERLINK("http://dx.doi.org/10.1111/j.1474-919X.1997.tb04666.x","http://dx.doi.org/10.1111/j.1474-919X.1997.tb04666.x")</f>
        <v>http://dx.doi.org/10.1111/j.1474-919X.1997.tb04666.x</v>
      </c>
      <c r="BG986" t="s">
        <v>74</v>
      </c>
      <c r="BH986" t="s">
        <v>74</v>
      </c>
      <c r="BI986">
        <v>9</v>
      </c>
      <c r="BJ986" t="s">
        <v>439</v>
      </c>
      <c r="BK986" t="s">
        <v>98</v>
      </c>
      <c r="BL986" t="s">
        <v>417</v>
      </c>
      <c r="BM986" t="s">
        <v>11844</v>
      </c>
      <c r="BN986" t="s">
        <v>74</v>
      </c>
      <c r="BO986" t="s">
        <v>74</v>
      </c>
      <c r="BP986" t="s">
        <v>74</v>
      </c>
      <c r="BQ986" t="s">
        <v>74</v>
      </c>
      <c r="BR986" t="s">
        <v>101</v>
      </c>
      <c r="BS986" t="s">
        <v>11854</v>
      </c>
      <c r="BT986" t="str">
        <f>HYPERLINK("https%3A%2F%2Fwww.webofscience.com%2Fwos%2Fwoscc%2Ffull-record%2FWOS:A1997XL05200011","View Full Record in Web of Science")</f>
        <v>View Full Record in Web of Science</v>
      </c>
    </row>
    <row r="987" spans="1:72" x14ac:dyDescent="0.15">
      <c r="A987" t="s">
        <v>72</v>
      </c>
      <c r="B987" t="s">
        <v>11855</v>
      </c>
      <c r="C987" t="s">
        <v>74</v>
      </c>
      <c r="D987" t="s">
        <v>74</v>
      </c>
      <c r="E987" t="s">
        <v>74</v>
      </c>
      <c r="F987" t="s">
        <v>11855</v>
      </c>
      <c r="G987" t="s">
        <v>74</v>
      </c>
      <c r="H987" t="s">
        <v>74</v>
      </c>
      <c r="I987" t="s">
        <v>11856</v>
      </c>
      <c r="J987" t="s">
        <v>11857</v>
      </c>
      <c r="K987" t="s">
        <v>74</v>
      </c>
      <c r="L987" t="s">
        <v>74</v>
      </c>
      <c r="M987" t="s">
        <v>77</v>
      </c>
      <c r="N987" t="s">
        <v>78</v>
      </c>
      <c r="O987" t="s">
        <v>74</v>
      </c>
      <c r="P987" t="s">
        <v>74</v>
      </c>
      <c r="Q987" t="s">
        <v>74</v>
      </c>
      <c r="R987" t="s">
        <v>74</v>
      </c>
      <c r="S987" t="s">
        <v>74</v>
      </c>
      <c r="T987" t="s">
        <v>74</v>
      </c>
      <c r="U987" t="s">
        <v>11858</v>
      </c>
      <c r="V987" t="s">
        <v>11859</v>
      </c>
      <c r="W987" t="s">
        <v>74</v>
      </c>
      <c r="X987" t="s">
        <v>74</v>
      </c>
      <c r="Y987" t="s">
        <v>11860</v>
      </c>
      <c r="Z987" t="s">
        <v>74</v>
      </c>
      <c r="AA987" t="s">
        <v>74</v>
      </c>
      <c r="AB987" t="s">
        <v>74</v>
      </c>
      <c r="AC987" t="s">
        <v>74</v>
      </c>
      <c r="AD987" t="s">
        <v>74</v>
      </c>
      <c r="AE987" t="s">
        <v>74</v>
      </c>
      <c r="AF987" t="s">
        <v>74</v>
      </c>
      <c r="AG987">
        <v>47</v>
      </c>
      <c r="AH987">
        <v>21</v>
      </c>
      <c r="AI987">
        <v>24</v>
      </c>
      <c r="AJ987">
        <v>1</v>
      </c>
      <c r="AK987">
        <v>14</v>
      </c>
      <c r="AL987" t="s">
        <v>1340</v>
      </c>
      <c r="AM987" t="s">
        <v>1341</v>
      </c>
      <c r="AN987" t="s">
        <v>1342</v>
      </c>
      <c r="AO987" t="s">
        <v>11861</v>
      </c>
      <c r="AP987" t="s">
        <v>11862</v>
      </c>
      <c r="AQ987" t="s">
        <v>74</v>
      </c>
      <c r="AR987" t="s">
        <v>11863</v>
      </c>
      <c r="AS987" t="s">
        <v>11864</v>
      </c>
      <c r="AT987" t="s">
        <v>11582</v>
      </c>
      <c r="AU987">
        <v>1997</v>
      </c>
      <c r="AV987">
        <v>158</v>
      </c>
      <c r="AW987">
        <v>4</v>
      </c>
      <c r="AX987" t="s">
        <v>74</v>
      </c>
      <c r="AY987" t="s">
        <v>74</v>
      </c>
      <c r="AZ987" t="s">
        <v>74</v>
      </c>
      <c r="BA987" t="s">
        <v>74</v>
      </c>
      <c r="BB987">
        <v>451</v>
      </c>
      <c r="BC987">
        <v>460</v>
      </c>
      <c r="BD987" t="s">
        <v>74</v>
      </c>
      <c r="BE987" t="s">
        <v>11865</v>
      </c>
      <c r="BF987" t="str">
        <f>HYPERLINK("http://dx.doi.org/10.1086/297455","http://dx.doi.org/10.1086/297455")</f>
        <v>http://dx.doi.org/10.1086/297455</v>
      </c>
      <c r="BG987" t="s">
        <v>74</v>
      </c>
      <c r="BH987" t="s">
        <v>74</v>
      </c>
      <c r="BI987">
        <v>10</v>
      </c>
      <c r="BJ987" t="s">
        <v>2721</v>
      </c>
      <c r="BK987" t="s">
        <v>98</v>
      </c>
      <c r="BL987" t="s">
        <v>2721</v>
      </c>
      <c r="BM987" t="s">
        <v>11866</v>
      </c>
      <c r="BN987" t="s">
        <v>74</v>
      </c>
      <c r="BO987" t="s">
        <v>74</v>
      </c>
      <c r="BP987" t="s">
        <v>74</v>
      </c>
      <c r="BQ987" t="s">
        <v>74</v>
      </c>
      <c r="BR987" t="s">
        <v>101</v>
      </c>
      <c r="BS987" t="s">
        <v>11867</v>
      </c>
      <c r="BT987" t="str">
        <f>HYPERLINK("https%3A%2F%2Fwww.webofscience.com%2Fwos%2Fwoscc%2Ffull-record%2FWOS:A1997XN62800007","View Full Record in Web of Science")</f>
        <v>View Full Record in Web of Science</v>
      </c>
    </row>
    <row r="988" spans="1:72" x14ac:dyDescent="0.15">
      <c r="A988" t="s">
        <v>72</v>
      </c>
      <c r="B988" t="s">
        <v>2656</v>
      </c>
      <c r="C988" t="s">
        <v>74</v>
      </c>
      <c r="D988" t="s">
        <v>74</v>
      </c>
      <c r="E988" t="s">
        <v>74</v>
      </c>
      <c r="F988" t="s">
        <v>2656</v>
      </c>
      <c r="G988" t="s">
        <v>74</v>
      </c>
      <c r="H988" t="s">
        <v>74</v>
      </c>
      <c r="I988" t="s">
        <v>11868</v>
      </c>
      <c r="J988" t="s">
        <v>11857</v>
      </c>
      <c r="K988" t="s">
        <v>74</v>
      </c>
      <c r="L988" t="s">
        <v>74</v>
      </c>
      <c r="M988" t="s">
        <v>77</v>
      </c>
      <c r="N988" t="s">
        <v>78</v>
      </c>
      <c r="O988" t="s">
        <v>74</v>
      </c>
      <c r="P988" t="s">
        <v>74</v>
      </c>
      <c r="Q988" t="s">
        <v>74</v>
      </c>
      <c r="R988" t="s">
        <v>74</v>
      </c>
      <c r="S988" t="s">
        <v>74</v>
      </c>
      <c r="T988" t="s">
        <v>74</v>
      </c>
      <c r="U988" t="s">
        <v>11869</v>
      </c>
      <c r="V988" t="s">
        <v>11870</v>
      </c>
      <c r="W988" t="s">
        <v>74</v>
      </c>
      <c r="X988" t="s">
        <v>74</v>
      </c>
      <c r="Y988" t="s">
        <v>10423</v>
      </c>
      <c r="Z988" t="s">
        <v>74</v>
      </c>
      <c r="AA988" t="s">
        <v>1486</v>
      </c>
      <c r="AB988" t="s">
        <v>1487</v>
      </c>
      <c r="AC988" t="s">
        <v>74</v>
      </c>
      <c r="AD988" t="s">
        <v>74</v>
      </c>
      <c r="AE988" t="s">
        <v>74</v>
      </c>
      <c r="AF988" t="s">
        <v>74</v>
      </c>
      <c r="AG988">
        <v>46</v>
      </c>
      <c r="AH988">
        <v>39</v>
      </c>
      <c r="AI988">
        <v>40</v>
      </c>
      <c r="AJ988">
        <v>0</v>
      </c>
      <c r="AK988">
        <v>4</v>
      </c>
      <c r="AL988" t="s">
        <v>1340</v>
      </c>
      <c r="AM988" t="s">
        <v>1341</v>
      </c>
      <c r="AN988" t="s">
        <v>6997</v>
      </c>
      <c r="AO988" t="s">
        <v>11861</v>
      </c>
      <c r="AP988" t="s">
        <v>74</v>
      </c>
      <c r="AQ988" t="s">
        <v>74</v>
      </c>
      <c r="AR988" t="s">
        <v>11863</v>
      </c>
      <c r="AS988" t="s">
        <v>11864</v>
      </c>
      <c r="AT988" t="s">
        <v>11582</v>
      </c>
      <c r="AU988">
        <v>1997</v>
      </c>
      <c r="AV988">
        <v>158</v>
      </c>
      <c r="AW988">
        <v>4</v>
      </c>
      <c r="AX988" t="s">
        <v>74</v>
      </c>
      <c r="AY988" t="s">
        <v>74</v>
      </c>
      <c r="AZ988" t="s">
        <v>74</v>
      </c>
      <c r="BA988" t="s">
        <v>74</v>
      </c>
      <c r="BB988">
        <v>476</v>
      </c>
      <c r="BC988">
        <v>488</v>
      </c>
      <c r="BD988" t="s">
        <v>74</v>
      </c>
      <c r="BE988" t="s">
        <v>11871</v>
      </c>
      <c r="BF988" t="str">
        <f>HYPERLINK("http://dx.doi.org/10.1086/297458","http://dx.doi.org/10.1086/297458")</f>
        <v>http://dx.doi.org/10.1086/297458</v>
      </c>
      <c r="BG988" t="s">
        <v>74</v>
      </c>
      <c r="BH988" t="s">
        <v>74</v>
      </c>
      <c r="BI988">
        <v>13</v>
      </c>
      <c r="BJ988" t="s">
        <v>2721</v>
      </c>
      <c r="BK988" t="s">
        <v>98</v>
      </c>
      <c r="BL988" t="s">
        <v>2721</v>
      </c>
      <c r="BM988" t="s">
        <v>11866</v>
      </c>
      <c r="BN988" t="s">
        <v>74</v>
      </c>
      <c r="BO988" t="s">
        <v>74</v>
      </c>
      <c r="BP988" t="s">
        <v>74</v>
      </c>
      <c r="BQ988" t="s">
        <v>74</v>
      </c>
      <c r="BR988" t="s">
        <v>101</v>
      </c>
      <c r="BS988" t="s">
        <v>11872</v>
      </c>
      <c r="BT988" t="str">
        <f>HYPERLINK("https%3A%2F%2Fwww.webofscience.com%2Fwos%2Fwoscc%2Ffull-record%2FWOS:A1997XN62800010","View Full Record in Web of Science")</f>
        <v>View Full Record in Web of Science</v>
      </c>
    </row>
    <row r="989" spans="1:72" x14ac:dyDescent="0.15">
      <c r="A989" t="s">
        <v>72</v>
      </c>
      <c r="B989" t="s">
        <v>11873</v>
      </c>
      <c r="C989" t="s">
        <v>74</v>
      </c>
      <c r="D989" t="s">
        <v>74</v>
      </c>
      <c r="E989" t="s">
        <v>74</v>
      </c>
      <c r="F989" t="s">
        <v>11873</v>
      </c>
      <c r="G989" t="s">
        <v>74</v>
      </c>
      <c r="H989" t="s">
        <v>74</v>
      </c>
      <c r="I989" t="s">
        <v>11874</v>
      </c>
      <c r="J989" t="s">
        <v>4938</v>
      </c>
      <c r="K989" t="s">
        <v>74</v>
      </c>
      <c r="L989" t="s">
        <v>74</v>
      </c>
      <c r="M989" t="s">
        <v>77</v>
      </c>
      <c r="N989" t="s">
        <v>78</v>
      </c>
      <c r="O989" t="s">
        <v>74</v>
      </c>
      <c r="P989" t="s">
        <v>74</v>
      </c>
      <c r="Q989" t="s">
        <v>74</v>
      </c>
      <c r="R989" t="s">
        <v>74</v>
      </c>
      <c r="S989" t="s">
        <v>74</v>
      </c>
      <c r="T989" t="s">
        <v>74</v>
      </c>
      <c r="U989" t="s">
        <v>11875</v>
      </c>
      <c r="V989" t="s">
        <v>11876</v>
      </c>
      <c r="W989" t="s">
        <v>11507</v>
      </c>
      <c r="X989" t="s">
        <v>9339</v>
      </c>
      <c r="Y989" t="s">
        <v>10805</v>
      </c>
      <c r="Z989" t="s">
        <v>74</v>
      </c>
      <c r="AA989" t="s">
        <v>11877</v>
      </c>
      <c r="AB989" t="s">
        <v>11878</v>
      </c>
      <c r="AC989" t="s">
        <v>74</v>
      </c>
      <c r="AD989" t="s">
        <v>74</v>
      </c>
      <c r="AE989" t="s">
        <v>74</v>
      </c>
      <c r="AF989" t="s">
        <v>74</v>
      </c>
      <c r="AG989">
        <v>53</v>
      </c>
      <c r="AH989">
        <v>132</v>
      </c>
      <c r="AI989">
        <v>142</v>
      </c>
      <c r="AJ989">
        <v>0</v>
      </c>
      <c r="AK989">
        <v>6</v>
      </c>
      <c r="AL989" t="s">
        <v>360</v>
      </c>
      <c r="AM989" t="s">
        <v>88</v>
      </c>
      <c r="AN989" t="s">
        <v>9343</v>
      </c>
      <c r="AO989" t="s">
        <v>4950</v>
      </c>
      <c r="AP989" t="s">
        <v>74</v>
      </c>
      <c r="AQ989" t="s">
        <v>74</v>
      </c>
      <c r="AR989" t="s">
        <v>4951</v>
      </c>
      <c r="AS989" t="s">
        <v>4952</v>
      </c>
      <c r="AT989" t="s">
        <v>11582</v>
      </c>
      <c r="AU989">
        <v>1997</v>
      </c>
      <c r="AV989">
        <v>47</v>
      </c>
      <c r="AW989">
        <v>3</v>
      </c>
      <c r="AX989" t="s">
        <v>74</v>
      </c>
      <c r="AY989" t="s">
        <v>74</v>
      </c>
      <c r="AZ989" t="s">
        <v>74</v>
      </c>
      <c r="BA989" t="s">
        <v>74</v>
      </c>
      <c r="BB989">
        <v>670</v>
      </c>
      <c r="BC989">
        <v>677</v>
      </c>
      <c r="BD989" t="s">
        <v>74</v>
      </c>
      <c r="BE989" t="s">
        <v>11879</v>
      </c>
      <c r="BF989" t="str">
        <f>HYPERLINK("http://dx.doi.org/10.1099/00207713-47-3-670","http://dx.doi.org/10.1099/00207713-47-3-670")</f>
        <v>http://dx.doi.org/10.1099/00207713-47-3-670</v>
      </c>
      <c r="BG989" t="s">
        <v>74</v>
      </c>
      <c r="BH989" t="s">
        <v>74</v>
      </c>
      <c r="BI989">
        <v>8</v>
      </c>
      <c r="BJ989" t="s">
        <v>1223</v>
      </c>
      <c r="BK989" t="s">
        <v>98</v>
      </c>
      <c r="BL989" t="s">
        <v>1223</v>
      </c>
      <c r="BM989" t="s">
        <v>11880</v>
      </c>
      <c r="BN989">
        <v>9226898</v>
      </c>
      <c r="BO989" t="s">
        <v>100</v>
      </c>
      <c r="BP989" t="s">
        <v>74</v>
      </c>
      <c r="BQ989" t="s">
        <v>74</v>
      </c>
      <c r="BR989" t="s">
        <v>101</v>
      </c>
      <c r="BS989" t="s">
        <v>11881</v>
      </c>
      <c r="BT989" t="str">
        <f>HYPERLINK("https%3A%2F%2Fwww.webofscience.com%2Fwos%2Fwoscc%2Ffull-record%2FWOS:A1997XK39000011","View Full Record in Web of Science")</f>
        <v>View Full Record in Web of Science</v>
      </c>
    </row>
    <row r="990" spans="1:72" x14ac:dyDescent="0.15">
      <c r="A990" t="s">
        <v>72</v>
      </c>
      <c r="B990" t="s">
        <v>11882</v>
      </c>
      <c r="C990" t="s">
        <v>74</v>
      </c>
      <c r="D990" t="s">
        <v>74</v>
      </c>
      <c r="E990" t="s">
        <v>74</v>
      </c>
      <c r="F990" t="s">
        <v>11882</v>
      </c>
      <c r="G990" t="s">
        <v>74</v>
      </c>
      <c r="H990" t="s">
        <v>74</v>
      </c>
      <c r="I990" t="s">
        <v>11883</v>
      </c>
      <c r="J990" t="s">
        <v>602</v>
      </c>
      <c r="K990" t="s">
        <v>74</v>
      </c>
      <c r="L990" t="s">
        <v>74</v>
      </c>
      <c r="M990" t="s">
        <v>77</v>
      </c>
      <c r="N990" t="s">
        <v>78</v>
      </c>
      <c r="O990" t="s">
        <v>74</v>
      </c>
      <c r="P990" t="s">
        <v>74</v>
      </c>
      <c r="Q990" t="s">
        <v>74</v>
      </c>
      <c r="R990" t="s">
        <v>74</v>
      </c>
      <c r="S990" t="s">
        <v>74</v>
      </c>
      <c r="T990" t="s">
        <v>74</v>
      </c>
      <c r="U990" t="s">
        <v>11884</v>
      </c>
      <c r="V990" t="s">
        <v>11885</v>
      </c>
      <c r="W990" t="s">
        <v>11886</v>
      </c>
      <c r="X990" t="s">
        <v>74</v>
      </c>
      <c r="Y990" t="s">
        <v>11887</v>
      </c>
      <c r="Z990" t="s">
        <v>74</v>
      </c>
      <c r="AA990" t="s">
        <v>74</v>
      </c>
      <c r="AB990" t="s">
        <v>74</v>
      </c>
      <c r="AC990" t="s">
        <v>74</v>
      </c>
      <c r="AD990" t="s">
        <v>74</v>
      </c>
      <c r="AE990" t="s">
        <v>74</v>
      </c>
      <c r="AF990" t="s">
        <v>74</v>
      </c>
      <c r="AG990">
        <v>24</v>
      </c>
      <c r="AH990">
        <v>13</v>
      </c>
      <c r="AI990">
        <v>14</v>
      </c>
      <c r="AJ990">
        <v>0</v>
      </c>
      <c r="AK990">
        <v>2</v>
      </c>
      <c r="AL990" t="s">
        <v>451</v>
      </c>
      <c r="AM990" t="s">
        <v>214</v>
      </c>
      <c r="AN990" t="s">
        <v>7151</v>
      </c>
      <c r="AO990" t="s">
        <v>610</v>
      </c>
      <c r="AP990" t="s">
        <v>74</v>
      </c>
      <c r="AQ990" t="s">
        <v>74</v>
      </c>
      <c r="AR990" t="s">
        <v>611</v>
      </c>
      <c r="AS990" t="s">
        <v>612</v>
      </c>
      <c r="AT990" t="s">
        <v>11582</v>
      </c>
      <c r="AU990">
        <v>1997</v>
      </c>
      <c r="AV990">
        <v>59</v>
      </c>
      <c r="AW990">
        <v>11</v>
      </c>
      <c r="AX990" t="s">
        <v>74</v>
      </c>
      <c r="AY990" t="s">
        <v>74</v>
      </c>
      <c r="AZ990" t="s">
        <v>74</v>
      </c>
      <c r="BA990" t="s">
        <v>74</v>
      </c>
      <c r="BB990">
        <v>1233</v>
      </c>
      <c r="BC990">
        <v>1244</v>
      </c>
      <c r="BD990" t="s">
        <v>74</v>
      </c>
      <c r="BE990" t="s">
        <v>11888</v>
      </c>
      <c r="BF990" t="str">
        <f>HYPERLINK("http://dx.doi.org/10.1016/S1364-6826(96)00075-2","http://dx.doi.org/10.1016/S1364-6826(96)00075-2")</f>
        <v>http://dx.doi.org/10.1016/S1364-6826(96)00075-2</v>
      </c>
      <c r="BG990" t="s">
        <v>74</v>
      </c>
      <c r="BH990" t="s">
        <v>74</v>
      </c>
      <c r="BI990">
        <v>12</v>
      </c>
      <c r="BJ990" t="s">
        <v>614</v>
      </c>
      <c r="BK990" t="s">
        <v>98</v>
      </c>
      <c r="BL990" t="s">
        <v>614</v>
      </c>
      <c r="BM990" t="s">
        <v>11889</v>
      </c>
      <c r="BN990" t="s">
        <v>74</v>
      </c>
      <c r="BO990" t="s">
        <v>74</v>
      </c>
      <c r="BP990" t="s">
        <v>74</v>
      </c>
      <c r="BQ990" t="s">
        <v>74</v>
      </c>
      <c r="BR990" t="s">
        <v>101</v>
      </c>
      <c r="BS990" t="s">
        <v>11890</v>
      </c>
      <c r="BT990" t="str">
        <f>HYPERLINK("https%3A%2F%2Fwww.webofscience.com%2Fwos%2Fwoscc%2Ffull-record%2FWOS:A1997XD89500002","View Full Record in Web of Science")</f>
        <v>View Full Record in Web of Science</v>
      </c>
    </row>
    <row r="991" spans="1:72" x14ac:dyDescent="0.15">
      <c r="A991" t="s">
        <v>72</v>
      </c>
      <c r="B991" t="s">
        <v>11891</v>
      </c>
      <c r="C991" t="s">
        <v>74</v>
      </c>
      <c r="D991" t="s">
        <v>74</v>
      </c>
      <c r="E991" t="s">
        <v>74</v>
      </c>
      <c r="F991" t="s">
        <v>11891</v>
      </c>
      <c r="G991" t="s">
        <v>74</v>
      </c>
      <c r="H991" t="s">
        <v>74</v>
      </c>
      <c r="I991" t="s">
        <v>11892</v>
      </c>
      <c r="J991" t="s">
        <v>619</v>
      </c>
      <c r="K991" t="s">
        <v>74</v>
      </c>
      <c r="L991" t="s">
        <v>74</v>
      </c>
      <c r="M991" t="s">
        <v>77</v>
      </c>
      <c r="N991" t="s">
        <v>78</v>
      </c>
      <c r="O991" t="s">
        <v>74</v>
      </c>
      <c r="P991" t="s">
        <v>74</v>
      </c>
      <c r="Q991" t="s">
        <v>74</v>
      </c>
      <c r="R991" t="s">
        <v>74</v>
      </c>
      <c r="S991" t="s">
        <v>74</v>
      </c>
      <c r="T991" t="s">
        <v>74</v>
      </c>
      <c r="U991" t="s">
        <v>11893</v>
      </c>
      <c r="V991" t="s">
        <v>11894</v>
      </c>
      <c r="W991" t="s">
        <v>11895</v>
      </c>
      <c r="X991" t="s">
        <v>11896</v>
      </c>
      <c r="Y991" t="s">
        <v>11897</v>
      </c>
      <c r="Z991" t="s">
        <v>74</v>
      </c>
      <c r="AA991" t="s">
        <v>11898</v>
      </c>
      <c r="AB991" t="s">
        <v>11899</v>
      </c>
      <c r="AC991" t="s">
        <v>74</v>
      </c>
      <c r="AD991" t="s">
        <v>74</v>
      </c>
      <c r="AE991" t="s">
        <v>74</v>
      </c>
      <c r="AF991" t="s">
        <v>74</v>
      </c>
      <c r="AG991">
        <v>41</v>
      </c>
      <c r="AH991">
        <v>30</v>
      </c>
      <c r="AI991">
        <v>30</v>
      </c>
      <c r="AJ991">
        <v>0</v>
      </c>
      <c r="AK991">
        <v>5</v>
      </c>
      <c r="AL991" t="s">
        <v>627</v>
      </c>
      <c r="AM991" t="s">
        <v>628</v>
      </c>
      <c r="AN991" t="s">
        <v>8550</v>
      </c>
      <c r="AO991" t="s">
        <v>630</v>
      </c>
      <c r="AP991" t="s">
        <v>74</v>
      </c>
      <c r="AQ991" t="s">
        <v>74</v>
      </c>
      <c r="AR991" t="s">
        <v>632</v>
      </c>
      <c r="AS991" t="s">
        <v>633</v>
      </c>
      <c r="AT991" t="s">
        <v>11582</v>
      </c>
      <c r="AU991">
        <v>1997</v>
      </c>
      <c r="AV991">
        <v>10</v>
      </c>
      <c r="AW991">
        <v>7</v>
      </c>
      <c r="AX991" t="s">
        <v>74</v>
      </c>
      <c r="AY991" t="s">
        <v>74</v>
      </c>
      <c r="AZ991" t="s">
        <v>74</v>
      </c>
      <c r="BA991" t="s">
        <v>74</v>
      </c>
      <c r="BB991">
        <v>1525</v>
      </c>
      <c r="BC991">
        <v>1543</v>
      </c>
      <c r="BD991" t="s">
        <v>74</v>
      </c>
      <c r="BE991" t="s">
        <v>11900</v>
      </c>
      <c r="BF991" t="str">
        <f>HYPERLINK("http://dx.doi.org/10.1175/1520-0442(1997)010&lt;1525:ADOAYC&gt;2.0.CO;2","http://dx.doi.org/10.1175/1520-0442(1997)010&lt;1525:ADOAYC&gt;2.0.CO;2")</f>
        <v>http://dx.doi.org/10.1175/1520-0442(1997)010&lt;1525:ADOAYC&gt;2.0.CO;2</v>
      </c>
      <c r="BG991" t="s">
        <v>74</v>
      </c>
      <c r="BH991" t="s">
        <v>74</v>
      </c>
      <c r="BI991">
        <v>19</v>
      </c>
      <c r="BJ991" t="s">
        <v>635</v>
      </c>
      <c r="BK991" t="s">
        <v>98</v>
      </c>
      <c r="BL991" t="s">
        <v>635</v>
      </c>
      <c r="BM991" t="s">
        <v>11901</v>
      </c>
      <c r="BN991" t="s">
        <v>74</v>
      </c>
      <c r="BO991" t="s">
        <v>637</v>
      </c>
      <c r="BP991" t="s">
        <v>74</v>
      </c>
      <c r="BQ991" t="s">
        <v>74</v>
      </c>
      <c r="BR991" t="s">
        <v>101</v>
      </c>
      <c r="BS991" t="s">
        <v>11902</v>
      </c>
      <c r="BT991" t="str">
        <f>HYPERLINK("https%3A%2F%2Fwww.webofscience.com%2Fwos%2Fwoscc%2Ffull-record%2FWOS:A1997XP27800004","View Full Record in Web of Science")</f>
        <v>View Full Record in Web of Science</v>
      </c>
    </row>
    <row r="992" spans="1:72" x14ac:dyDescent="0.15">
      <c r="A992" t="s">
        <v>72</v>
      </c>
      <c r="B992" t="s">
        <v>11903</v>
      </c>
      <c r="C992" t="s">
        <v>74</v>
      </c>
      <c r="D992" t="s">
        <v>74</v>
      </c>
      <c r="E992" t="s">
        <v>74</v>
      </c>
      <c r="F992" t="s">
        <v>11903</v>
      </c>
      <c r="G992" t="s">
        <v>74</v>
      </c>
      <c r="H992" t="s">
        <v>74</v>
      </c>
      <c r="I992" t="s">
        <v>11904</v>
      </c>
      <c r="J992" t="s">
        <v>11905</v>
      </c>
      <c r="K992" t="s">
        <v>74</v>
      </c>
      <c r="L992" t="s">
        <v>74</v>
      </c>
      <c r="M992" t="s">
        <v>77</v>
      </c>
      <c r="N992" t="s">
        <v>78</v>
      </c>
      <c r="O992" t="s">
        <v>74</v>
      </c>
      <c r="P992" t="s">
        <v>74</v>
      </c>
      <c r="Q992" t="s">
        <v>74</v>
      </c>
      <c r="R992" t="s">
        <v>74</v>
      </c>
      <c r="S992" t="s">
        <v>74</v>
      </c>
      <c r="T992" t="s">
        <v>11906</v>
      </c>
      <c r="U992" t="s">
        <v>11907</v>
      </c>
      <c r="V992" t="s">
        <v>11908</v>
      </c>
      <c r="W992" t="s">
        <v>11909</v>
      </c>
      <c r="X992" t="s">
        <v>11910</v>
      </c>
      <c r="Y992" t="s">
        <v>11911</v>
      </c>
      <c r="Z992" t="s">
        <v>74</v>
      </c>
      <c r="AA992" t="s">
        <v>74</v>
      </c>
      <c r="AB992" t="s">
        <v>74</v>
      </c>
      <c r="AC992" t="s">
        <v>74</v>
      </c>
      <c r="AD992" t="s">
        <v>74</v>
      </c>
      <c r="AE992" t="s">
        <v>74</v>
      </c>
      <c r="AF992" t="s">
        <v>74</v>
      </c>
      <c r="AG992">
        <v>18</v>
      </c>
      <c r="AH992">
        <v>22</v>
      </c>
      <c r="AI992">
        <v>22</v>
      </c>
      <c r="AJ992">
        <v>2</v>
      </c>
      <c r="AK992">
        <v>6</v>
      </c>
      <c r="AL992" t="s">
        <v>1469</v>
      </c>
      <c r="AM992" t="s">
        <v>201</v>
      </c>
      <c r="AN992" t="s">
        <v>10930</v>
      </c>
      <c r="AO992" t="s">
        <v>11912</v>
      </c>
      <c r="AP992" t="s">
        <v>74</v>
      </c>
      <c r="AQ992" t="s">
        <v>74</v>
      </c>
      <c r="AR992" t="s">
        <v>11913</v>
      </c>
      <c r="AS992" t="s">
        <v>11914</v>
      </c>
      <c r="AT992" t="s">
        <v>11582</v>
      </c>
      <c r="AU992">
        <v>1997</v>
      </c>
      <c r="AV992">
        <v>51</v>
      </c>
      <c r="AW992">
        <v>1</v>
      </c>
      <c r="AX992" t="s">
        <v>74</v>
      </c>
      <c r="AY992" t="s">
        <v>74</v>
      </c>
      <c r="AZ992" t="s">
        <v>74</v>
      </c>
      <c r="BA992" t="s">
        <v>74</v>
      </c>
      <c r="BB992">
        <v>146</v>
      </c>
      <c r="BC992">
        <v>154</v>
      </c>
      <c r="BD992" t="s">
        <v>74</v>
      </c>
      <c r="BE992" t="s">
        <v>74</v>
      </c>
      <c r="BF992" t="s">
        <v>74</v>
      </c>
      <c r="BG992" t="s">
        <v>74</v>
      </c>
      <c r="BH992" t="s">
        <v>74</v>
      </c>
      <c r="BI992">
        <v>9</v>
      </c>
      <c r="BJ992" t="s">
        <v>11915</v>
      </c>
      <c r="BK992" t="s">
        <v>98</v>
      </c>
      <c r="BL992" t="s">
        <v>11915</v>
      </c>
      <c r="BM992" t="s">
        <v>11916</v>
      </c>
      <c r="BN992">
        <v>9236095</v>
      </c>
      <c r="BO992" t="s">
        <v>74</v>
      </c>
      <c r="BP992" t="s">
        <v>74</v>
      </c>
      <c r="BQ992" t="s">
        <v>74</v>
      </c>
      <c r="BR992" t="s">
        <v>101</v>
      </c>
      <c r="BS992" t="s">
        <v>11917</v>
      </c>
      <c r="BT992" t="str">
        <f>HYPERLINK("https%3A%2F%2Fwww.webofscience.com%2Fwos%2Fwoscc%2Ffull-record%2FWOS:A1997XJ86100013","View Full Record in Web of Science")</f>
        <v>View Full Record in Web of Science</v>
      </c>
    </row>
    <row r="993" spans="1:72" x14ac:dyDescent="0.15">
      <c r="A993" t="s">
        <v>72</v>
      </c>
      <c r="B993" t="s">
        <v>11918</v>
      </c>
      <c r="C993" t="s">
        <v>74</v>
      </c>
      <c r="D993" t="s">
        <v>74</v>
      </c>
      <c r="E993" t="s">
        <v>74</v>
      </c>
      <c r="F993" t="s">
        <v>11918</v>
      </c>
      <c r="G993" t="s">
        <v>74</v>
      </c>
      <c r="H993" t="s">
        <v>74</v>
      </c>
      <c r="I993" t="s">
        <v>11919</v>
      </c>
      <c r="J993" t="s">
        <v>1658</v>
      </c>
      <c r="K993" t="s">
        <v>74</v>
      </c>
      <c r="L993" t="s">
        <v>74</v>
      </c>
      <c r="M993" t="s">
        <v>77</v>
      </c>
      <c r="N993" t="s">
        <v>379</v>
      </c>
      <c r="O993" t="s">
        <v>11920</v>
      </c>
      <c r="P993" t="s">
        <v>11921</v>
      </c>
      <c r="Q993" t="s">
        <v>11922</v>
      </c>
      <c r="R993" t="s">
        <v>74</v>
      </c>
      <c r="S993" t="s">
        <v>11923</v>
      </c>
      <c r="T993" t="s">
        <v>74</v>
      </c>
      <c r="U993" t="s">
        <v>11924</v>
      </c>
      <c r="V993" t="s">
        <v>11925</v>
      </c>
      <c r="W993" t="s">
        <v>9386</v>
      </c>
      <c r="X993" t="s">
        <v>322</v>
      </c>
      <c r="Y993" t="s">
        <v>11926</v>
      </c>
      <c r="Z993" t="s">
        <v>74</v>
      </c>
      <c r="AA993" t="s">
        <v>7546</v>
      </c>
      <c r="AB993" t="s">
        <v>7547</v>
      </c>
      <c r="AC993" t="s">
        <v>74</v>
      </c>
      <c r="AD993" t="s">
        <v>74</v>
      </c>
      <c r="AE993" t="s">
        <v>74</v>
      </c>
      <c r="AF993" t="s">
        <v>74</v>
      </c>
      <c r="AG993">
        <v>36</v>
      </c>
      <c r="AH993">
        <v>126</v>
      </c>
      <c r="AI993">
        <v>136</v>
      </c>
      <c r="AJ993">
        <v>0</v>
      </c>
      <c r="AK993">
        <v>5</v>
      </c>
      <c r="AL993" t="s">
        <v>87</v>
      </c>
      <c r="AM993" t="s">
        <v>88</v>
      </c>
      <c r="AN993" t="s">
        <v>7533</v>
      </c>
      <c r="AO993" t="s">
        <v>74</v>
      </c>
      <c r="AP993" t="s">
        <v>74</v>
      </c>
      <c r="AQ993" t="s">
        <v>74</v>
      </c>
      <c r="AR993" t="s">
        <v>1661</v>
      </c>
      <c r="AS993" t="s">
        <v>1662</v>
      </c>
      <c r="AT993" t="s">
        <v>11927</v>
      </c>
      <c r="AU993">
        <v>1997</v>
      </c>
      <c r="AV993">
        <v>102</v>
      </c>
      <c r="AW993" t="s">
        <v>11928</v>
      </c>
      <c r="AX993" t="s">
        <v>74</v>
      </c>
      <c r="AY993" t="s">
        <v>74</v>
      </c>
      <c r="AZ993" t="s">
        <v>74</v>
      </c>
      <c r="BA993" t="s">
        <v>74</v>
      </c>
      <c r="BB993">
        <v>14155</v>
      </c>
      <c r="BC993">
        <v>14163</v>
      </c>
      <c r="BD993" t="s">
        <v>74</v>
      </c>
      <c r="BE993" t="s">
        <v>11929</v>
      </c>
      <c r="BF993" t="str">
        <f>HYPERLINK("http://dx.doi.org/10.1029/96JA04019","http://dx.doi.org/10.1029/96JA04019")</f>
        <v>http://dx.doi.org/10.1029/96JA04019</v>
      </c>
      <c r="BG993" t="s">
        <v>74</v>
      </c>
      <c r="BH993" t="s">
        <v>74</v>
      </c>
      <c r="BI993">
        <v>9</v>
      </c>
      <c r="BJ993" t="s">
        <v>971</v>
      </c>
      <c r="BK993" t="s">
        <v>397</v>
      </c>
      <c r="BL993" t="s">
        <v>971</v>
      </c>
      <c r="BM993" t="s">
        <v>11930</v>
      </c>
      <c r="BN993" t="s">
        <v>74</v>
      </c>
      <c r="BO993" t="s">
        <v>100</v>
      </c>
      <c r="BP993" t="s">
        <v>74</v>
      </c>
      <c r="BQ993" t="s">
        <v>74</v>
      </c>
      <c r="BR993" t="s">
        <v>101</v>
      </c>
      <c r="BS993" t="s">
        <v>11931</v>
      </c>
      <c r="BT993" t="str">
        <f>HYPERLINK("https%3A%2F%2Fwww.webofscience.com%2Fwos%2Fwoscc%2Ffull-record%2FWOS:A1997XJ20400013","View Full Record in Web of Science")</f>
        <v>View Full Record in Web of Science</v>
      </c>
    </row>
    <row r="994" spans="1:72" x14ac:dyDescent="0.15">
      <c r="A994" t="s">
        <v>72</v>
      </c>
      <c r="B994" t="s">
        <v>11932</v>
      </c>
      <c r="C994" t="s">
        <v>74</v>
      </c>
      <c r="D994" t="s">
        <v>74</v>
      </c>
      <c r="E994" t="s">
        <v>74</v>
      </c>
      <c r="F994" t="s">
        <v>11932</v>
      </c>
      <c r="G994" t="s">
        <v>74</v>
      </c>
      <c r="H994" t="s">
        <v>74</v>
      </c>
      <c r="I994" t="s">
        <v>11933</v>
      </c>
      <c r="J994" t="s">
        <v>684</v>
      </c>
      <c r="K994" t="s">
        <v>74</v>
      </c>
      <c r="L994" t="s">
        <v>74</v>
      </c>
      <c r="M994" t="s">
        <v>77</v>
      </c>
      <c r="N994" t="s">
        <v>78</v>
      </c>
      <c r="O994" t="s">
        <v>74</v>
      </c>
      <c r="P994" t="s">
        <v>74</v>
      </c>
      <c r="Q994" t="s">
        <v>74</v>
      </c>
      <c r="R994" t="s">
        <v>74</v>
      </c>
      <c r="S994" t="s">
        <v>74</v>
      </c>
      <c r="T994" t="s">
        <v>11934</v>
      </c>
      <c r="U994" t="s">
        <v>11935</v>
      </c>
      <c r="V994" t="s">
        <v>11936</v>
      </c>
      <c r="W994" t="s">
        <v>11937</v>
      </c>
      <c r="X994" t="s">
        <v>254</v>
      </c>
      <c r="Y994" t="s">
        <v>74</v>
      </c>
      <c r="Z994" t="s">
        <v>74</v>
      </c>
      <c r="AA994" t="s">
        <v>11938</v>
      </c>
      <c r="AB994" t="s">
        <v>74</v>
      </c>
      <c r="AC994" t="s">
        <v>74</v>
      </c>
      <c r="AD994" t="s">
        <v>74</v>
      </c>
      <c r="AE994" t="s">
        <v>74</v>
      </c>
      <c r="AF994" t="s">
        <v>74</v>
      </c>
      <c r="AG994">
        <v>81</v>
      </c>
      <c r="AH994">
        <v>107</v>
      </c>
      <c r="AI994">
        <v>114</v>
      </c>
      <c r="AJ994">
        <v>5</v>
      </c>
      <c r="AK994">
        <v>37</v>
      </c>
      <c r="AL994" t="s">
        <v>451</v>
      </c>
      <c r="AM994" t="s">
        <v>214</v>
      </c>
      <c r="AN994" t="s">
        <v>452</v>
      </c>
      <c r="AO994" t="s">
        <v>690</v>
      </c>
      <c r="AP994" t="s">
        <v>691</v>
      </c>
      <c r="AQ994" t="s">
        <v>74</v>
      </c>
      <c r="AR994" t="s">
        <v>692</v>
      </c>
      <c r="AS994" t="s">
        <v>693</v>
      </c>
      <c r="AT994" t="s">
        <v>11582</v>
      </c>
      <c r="AU994">
        <v>1997</v>
      </c>
      <c r="AV994">
        <v>43</v>
      </c>
      <c r="AW994">
        <v>7</v>
      </c>
      <c r="AX994" t="s">
        <v>74</v>
      </c>
      <c r="AY994" t="s">
        <v>74</v>
      </c>
      <c r="AZ994" t="s">
        <v>74</v>
      </c>
      <c r="BA994" t="s">
        <v>74</v>
      </c>
      <c r="BB994">
        <v>685</v>
      </c>
      <c r="BC994">
        <v>694</v>
      </c>
      <c r="BD994" t="s">
        <v>74</v>
      </c>
      <c r="BE994" t="s">
        <v>74</v>
      </c>
      <c r="BF994" t="s">
        <v>74</v>
      </c>
      <c r="BG994" t="s">
        <v>74</v>
      </c>
      <c r="BH994" t="s">
        <v>74</v>
      </c>
      <c r="BI994">
        <v>10</v>
      </c>
      <c r="BJ994" t="s">
        <v>696</v>
      </c>
      <c r="BK994" t="s">
        <v>98</v>
      </c>
      <c r="BL994" t="s">
        <v>696</v>
      </c>
      <c r="BM994" t="s">
        <v>11939</v>
      </c>
      <c r="BN994">
        <v>12769980</v>
      </c>
      <c r="BO994" t="s">
        <v>74</v>
      </c>
      <c r="BP994" t="s">
        <v>74</v>
      </c>
      <c r="BQ994" t="s">
        <v>74</v>
      </c>
      <c r="BR994" t="s">
        <v>101</v>
      </c>
      <c r="BS994" t="s">
        <v>11940</v>
      </c>
      <c r="BT994" t="str">
        <f>HYPERLINK("https%3A%2F%2Fwww.webofscience.com%2Fwos%2Fwoscc%2Ffull-record%2FWOS:A1997XT81600011","View Full Record in Web of Science")</f>
        <v>View Full Record in Web of Science</v>
      </c>
    </row>
    <row r="995" spans="1:72" x14ac:dyDescent="0.15">
      <c r="A995" t="s">
        <v>72</v>
      </c>
      <c r="B995" t="s">
        <v>11941</v>
      </c>
      <c r="C995" t="s">
        <v>74</v>
      </c>
      <c r="D995" t="s">
        <v>74</v>
      </c>
      <c r="E995" t="s">
        <v>74</v>
      </c>
      <c r="F995" t="s">
        <v>11941</v>
      </c>
      <c r="G995" t="s">
        <v>74</v>
      </c>
      <c r="H995" t="s">
        <v>74</v>
      </c>
      <c r="I995" t="s">
        <v>11942</v>
      </c>
      <c r="J995" t="s">
        <v>11008</v>
      </c>
      <c r="K995" t="s">
        <v>74</v>
      </c>
      <c r="L995" t="s">
        <v>74</v>
      </c>
      <c r="M995" t="s">
        <v>77</v>
      </c>
      <c r="N995" t="s">
        <v>78</v>
      </c>
      <c r="O995" t="s">
        <v>74</v>
      </c>
      <c r="P995" t="s">
        <v>74</v>
      </c>
      <c r="Q995" t="s">
        <v>74</v>
      </c>
      <c r="R995" t="s">
        <v>74</v>
      </c>
      <c r="S995" t="s">
        <v>74</v>
      </c>
      <c r="T995" t="s">
        <v>11943</v>
      </c>
      <c r="U995" t="s">
        <v>11944</v>
      </c>
      <c r="V995" t="s">
        <v>11945</v>
      </c>
      <c r="W995" t="s">
        <v>11946</v>
      </c>
      <c r="X995" t="s">
        <v>11947</v>
      </c>
      <c r="Y995" t="s">
        <v>74</v>
      </c>
      <c r="Z995" t="s">
        <v>74</v>
      </c>
      <c r="AA995" t="s">
        <v>11948</v>
      </c>
      <c r="AB995" t="s">
        <v>11949</v>
      </c>
      <c r="AC995" t="s">
        <v>74</v>
      </c>
      <c r="AD995" t="s">
        <v>74</v>
      </c>
      <c r="AE995" t="s">
        <v>74</v>
      </c>
      <c r="AF995" t="s">
        <v>74</v>
      </c>
      <c r="AG995">
        <v>22</v>
      </c>
      <c r="AH995">
        <v>15</v>
      </c>
      <c r="AI995">
        <v>18</v>
      </c>
      <c r="AJ995">
        <v>0</v>
      </c>
      <c r="AK995">
        <v>6</v>
      </c>
      <c r="AL995" t="s">
        <v>11950</v>
      </c>
      <c r="AM995" t="s">
        <v>11016</v>
      </c>
      <c r="AN995" t="s">
        <v>11017</v>
      </c>
      <c r="AO995" t="s">
        <v>11018</v>
      </c>
      <c r="AP995" t="s">
        <v>74</v>
      </c>
      <c r="AQ995" t="s">
        <v>74</v>
      </c>
      <c r="AR995" t="s">
        <v>11019</v>
      </c>
      <c r="AS995" t="s">
        <v>11020</v>
      </c>
      <c r="AT995" t="s">
        <v>11582</v>
      </c>
      <c r="AU995">
        <v>1997</v>
      </c>
      <c r="AV995">
        <v>39</v>
      </c>
      <c r="AW995">
        <v>3</v>
      </c>
      <c r="AX995" t="s">
        <v>74</v>
      </c>
      <c r="AY995" t="s">
        <v>74</v>
      </c>
      <c r="AZ995" t="s">
        <v>74</v>
      </c>
      <c r="BA995" t="s">
        <v>74</v>
      </c>
      <c r="BB995">
        <v>258</v>
      </c>
      <c r="BC995">
        <v>264</v>
      </c>
      <c r="BD995" t="s">
        <v>74</v>
      </c>
      <c r="BE995" t="s">
        <v>11951</v>
      </c>
      <c r="BF995" t="str">
        <f>HYPERLINK("http://dx.doi.org/10.1016/S1011-1344(97)00019-5","http://dx.doi.org/10.1016/S1011-1344(97)00019-5")</f>
        <v>http://dx.doi.org/10.1016/S1011-1344(97)00019-5</v>
      </c>
      <c r="BG995" t="s">
        <v>74</v>
      </c>
      <c r="BH995" t="s">
        <v>74</v>
      </c>
      <c r="BI995">
        <v>7</v>
      </c>
      <c r="BJ995" t="s">
        <v>7774</v>
      </c>
      <c r="BK995" t="s">
        <v>98</v>
      </c>
      <c r="BL995" t="s">
        <v>7774</v>
      </c>
      <c r="BM995" t="s">
        <v>11952</v>
      </c>
      <c r="BN995" t="s">
        <v>74</v>
      </c>
      <c r="BO995" t="s">
        <v>74</v>
      </c>
      <c r="BP995" t="s">
        <v>74</v>
      </c>
      <c r="BQ995" t="s">
        <v>74</v>
      </c>
      <c r="BR995" t="s">
        <v>101</v>
      </c>
      <c r="BS995" t="s">
        <v>11953</v>
      </c>
      <c r="BT995" t="str">
        <f>HYPERLINK("https%3A%2F%2Fwww.webofscience.com%2Fwos%2Fwoscc%2Ffull-record%2FWOS:A1997XM56000012","View Full Record in Web of Science")</f>
        <v>View Full Record in Web of Science</v>
      </c>
    </row>
    <row r="996" spans="1:72" x14ac:dyDescent="0.15">
      <c r="A996" t="s">
        <v>72</v>
      </c>
      <c r="B996" t="s">
        <v>11954</v>
      </c>
      <c r="C996" t="s">
        <v>74</v>
      </c>
      <c r="D996" t="s">
        <v>74</v>
      </c>
      <c r="E996" t="s">
        <v>74</v>
      </c>
      <c r="F996" t="s">
        <v>11954</v>
      </c>
      <c r="G996" t="s">
        <v>74</v>
      </c>
      <c r="H996" t="s">
        <v>74</v>
      </c>
      <c r="I996" t="s">
        <v>11955</v>
      </c>
      <c r="J996" t="s">
        <v>739</v>
      </c>
      <c r="K996" t="s">
        <v>74</v>
      </c>
      <c r="L996" t="s">
        <v>74</v>
      </c>
      <c r="M996" t="s">
        <v>77</v>
      </c>
      <c r="N996" t="s">
        <v>78</v>
      </c>
      <c r="O996" t="s">
        <v>74</v>
      </c>
      <c r="P996" t="s">
        <v>74</v>
      </c>
      <c r="Q996" t="s">
        <v>74</v>
      </c>
      <c r="R996" t="s">
        <v>74</v>
      </c>
      <c r="S996" t="s">
        <v>74</v>
      </c>
      <c r="T996" t="s">
        <v>74</v>
      </c>
      <c r="U996" t="s">
        <v>11956</v>
      </c>
      <c r="V996" t="s">
        <v>11957</v>
      </c>
      <c r="W996" t="s">
        <v>11958</v>
      </c>
      <c r="X996" t="s">
        <v>5123</v>
      </c>
      <c r="Y996" t="s">
        <v>11959</v>
      </c>
      <c r="Z996" t="s">
        <v>74</v>
      </c>
      <c r="AA996" t="s">
        <v>74</v>
      </c>
      <c r="AB996" t="s">
        <v>74</v>
      </c>
      <c r="AC996" t="s">
        <v>74</v>
      </c>
      <c r="AD996" t="s">
        <v>74</v>
      </c>
      <c r="AE996" t="s">
        <v>74</v>
      </c>
      <c r="AF996" t="s">
        <v>74</v>
      </c>
      <c r="AG996">
        <v>18</v>
      </c>
      <c r="AH996">
        <v>20</v>
      </c>
      <c r="AI996">
        <v>21</v>
      </c>
      <c r="AJ996">
        <v>0</v>
      </c>
      <c r="AK996">
        <v>4</v>
      </c>
      <c r="AL996" t="s">
        <v>627</v>
      </c>
      <c r="AM996" t="s">
        <v>628</v>
      </c>
      <c r="AN996" t="s">
        <v>8550</v>
      </c>
      <c r="AO996" t="s">
        <v>746</v>
      </c>
      <c r="AP996" t="s">
        <v>74</v>
      </c>
      <c r="AQ996" t="s">
        <v>74</v>
      </c>
      <c r="AR996" t="s">
        <v>747</v>
      </c>
      <c r="AS996" t="s">
        <v>748</v>
      </c>
      <c r="AT996" t="s">
        <v>11582</v>
      </c>
      <c r="AU996">
        <v>1997</v>
      </c>
      <c r="AV996">
        <v>27</v>
      </c>
      <c r="AW996">
        <v>7</v>
      </c>
      <c r="AX996" t="s">
        <v>74</v>
      </c>
      <c r="AY996" t="s">
        <v>74</v>
      </c>
      <c r="AZ996" t="s">
        <v>74</v>
      </c>
      <c r="BA996" t="s">
        <v>74</v>
      </c>
      <c r="BB996">
        <v>1258</v>
      </c>
      <c r="BC996">
        <v>1273</v>
      </c>
      <c r="BD996" t="s">
        <v>74</v>
      </c>
      <c r="BE996" t="s">
        <v>11960</v>
      </c>
      <c r="BF996" t="str">
        <f>HYPERLINK("http://dx.doi.org/10.1175/1520-0485(1997)027&lt;1258:TTDCTA&gt;2.0.CO;2","http://dx.doi.org/10.1175/1520-0485(1997)027&lt;1258:TTDCTA&gt;2.0.CO;2")</f>
        <v>http://dx.doi.org/10.1175/1520-0485(1997)027&lt;1258:TTDCTA&gt;2.0.CO;2</v>
      </c>
      <c r="BG996" t="s">
        <v>74</v>
      </c>
      <c r="BH996" t="s">
        <v>74</v>
      </c>
      <c r="BI996">
        <v>16</v>
      </c>
      <c r="BJ996" t="s">
        <v>97</v>
      </c>
      <c r="BK996" t="s">
        <v>98</v>
      </c>
      <c r="BL996" t="s">
        <v>97</v>
      </c>
      <c r="BM996" t="s">
        <v>11961</v>
      </c>
      <c r="BN996" t="s">
        <v>74</v>
      </c>
      <c r="BO996" t="s">
        <v>100</v>
      </c>
      <c r="BP996" t="s">
        <v>74</v>
      </c>
      <c r="BQ996" t="s">
        <v>74</v>
      </c>
      <c r="BR996" t="s">
        <v>101</v>
      </c>
      <c r="BS996" t="s">
        <v>11962</v>
      </c>
      <c r="BT996" t="str">
        <f>HYPERLINK("https%3A%2F%2Fwww.webofscience.com%2Fwos%2Fwoscc%2Ffull-record%2FWOS:A1997XM92300005","View Full Record in Web of Science")</f>
        <v>View Full Record in Web of Science</v>
      </c>
    </row>
    <row r="997" spans="1:72" x14ac:dyDescent="0.15">
      <c r="A997" t="s">
        <v>72</v>
      </c>
      <c r="B997" t="s">
        <v>9446</v>
      </c>
      <c r="C997" t="s">
        <v>74</v>
      </c>
      <c r="D997" t="s">
        <v>74</v>
      </c>
      <c r="E997" t="s">
        <v>74</v>
      </c>
      <c r="F997" t="s">
        <v>9446</v>
      </c>
      <c r="G997" t="s">
        <v>74</v>
      </c>
      <c r="H997" t="s">
        <v>74</v>
      </c>
      <c r="I997" t="s">
        <v>11963</v>
      </c>
      <c r="J997" t="s">
        <v>739</v>
      </c>
      <c r="K997" t="s">
        <v>74</v>
      </c>
      <c r="L997" t="s">
        <v>74</v>
      </c>
      <c r="M997" t="s">
        <v>77</v>
      </c>
      <c r="N997" t="s">
        <v>78</v>
      </c>
      <c r="O997" t="s">
        <v>74</v>
      </c>
      <c r="P997" t="s">
        <v>74</v>
      </c>
      <c r="Q997" t="s">
        <v>74</v>
      </c>
      <c r="R997" t="s">
        <v>74</v>
      </c>
      <c r="S997" t="s">
        <v>74</v>
      </c>
      <c r="T997" t="s">
        <v>74</v>
      </c>
      <c r="U997" t="s">
        <v>11964</v>
      </c>
      <c r="V997" t="s">
        <v>11965</v>
      </c>
      <c r="W997" t="s">
        <v>74</v>
      </c>
      <c r="X997" t="s">
        <v>74</v>
      </c>
      <c r="Y997" t="s">
        <v>11966</v>
      </c>
      <c r="Z997" t="s">
        <v>74</v>
      </c>
      <c r="AA997" t="s">
        <v>9451</v>
      </c>
      <c r="AB997" t="s">
        <v>9452</v>
      </c>
      <c r="AC997" t="s">
        <v>74</v>
      </c>
      <c r="AD997" t="s">
        <v>74</v>
      </c>
      <c r="AE997" t="s">
        <v>74</v>
      </c>
      <c r="AF997" t="s">
        <v>74</v>
      </c>
      <c r="AG997">
        <v>28</v>
      </c>
      <c r="AH997">
        <v>12</v>
      </c>
      <c r="AI997">
        <v>13</v>
      </c>
      <c r="AJ997">
        <v>0</v>
      </c>
      <c r="AK997">
        <v>2</v>
      </c>
      <c r="AL997" t="s">
        <v>627</v>
      </c>
      <c r="AM997" t="s">
        <v>628</v>
      </c>
      <c r="AN997" t="s">
        <v>8550</v>
      </c>
      <c r="AO997" t="s">
        <v>746</v>
      </c>
      <c r="AP997" t="s">
        <v>74</v>
      </c>
      <c r="AQ997" t="s">
        <v>74</v>
      </c>
      <c r="AR997" t="s">
        <v>747</v>
      </c>
      <c r="AS997" t="s">
        <v>748</v>
      </c>
      <c r="AT997" t="s">
        <v>11582</v>
      </c>
      <c r="AU997">
        <v>1997</v>
      </c>
      <c r="AV997">
        <v>27</v>
      </c>
      <c r="AW997">
        <v>7</v>
      </c>
      <c r="AX997" t="s">
        <v>74</v>
      </c>
      <c r="AY997" t="s">
        <v>74</v>
      </c>
      <c r="AZ997" t="s">
        <v>74</v>
      </c>
      <c r="BA997" t="s">
        <v>74</v>
      </c>
      <c r="BB997">
        <v>1286</v>
      </c>
      <c r="BC997">
        <v>1299</v>
      </c>
      <c r="BD997" t="s">
        <v>74</v>
      </c>
      <c r="BE997" t="s">
        <v>11967</v>
      </c>
      <c r="BF997" t="str">
        <f>HYPERLINK("http://dx.doi.org/10.1175/1520-0485(1997)027&lt;1286:WPVINC&gt;2.0.CO;2","http://dx.doi.org/10.1175/1520-0485(1997)027&lt;1286:WPVINC&gt;2.0.CO;2")</f>
        <v>http://dx.doi.org/10.1175/1520-0485(1997)027&lt;1286:WPVINC&gt;2.0.CO;2</v>
      </c>
      <c r="BG997" t="s">
        <v>74</v>
      </c>
      <c r="BH997" t="s">
        <v>74</v>
      </c>
      <c r="BI997">
        <v>14</v>
      </c>
      <c r="BJ997" t="s">
        <v>97</v>
      </c>
      <c r="BK997" t="s">
        <v>98</v>
      </c>
      <c r="BL997" t="s">
        <v>97</v>
      </c>
      <c r="BM997" t="s">
        <v>11961</v>
      </c>
      <c r="BN997" t="s">
        <v>74</v>
      </c>
      <c r="BO997" t="s">
        <v>100</v>
      </c>
      <c r="BP997" t="s">
        <v>74</v>
      </c>
      <c r="BQ997" t="s">
        <v>74</v>
      </c>
      <c r="BR997" t="s">
        <v>101</v>
      </c>
      <c r="BS997" t="s">
        <v>11968</v>
      </c>
      <c r="BT997" t="str">
        <f>HYPERLINK("https%3A%2F%2Fwww.webofscience.com%2Fwos%2Fwoscc%2Ffull-record%2FWOS:A1997XM92300007","View Full Record in Web of Science")</f>
        <v>View Full Record in Web of Science</v>
      </c>
    </row>
    <row r="998" spans="1:72" x14ac:dyDescent="0.15">
      <c r="A998" t="s">
        <v>72</v>
      </c>
      <c r="B998" t="s">
        <v>11969</v>
      </c>
      <c r="C998" t="s">
        <v>74</v>
      </c>
      <c r="D998" t="s">
        <v>74</v>
      </c>
      <c r="E998" t="s">
        <v>74</v>
      </c>
      <c r="F998" t="s">
        <v>11969</v>
      </c>
      <c r="G998" t="s">
        <v>74</v>
      </c>
      <c r="H998" t="s">
        <v>74</v>
      </c>
      <c r="I998" t="s">
        <v>11970</v>
      </c>
      <c r="J998" t="s">
        <v>11971</v>
      </c>
      <c r="K998" t="s">
        <v>74</v>
      </c>
      <c r="L998" t="s">
        <v>74</v>
      </c>
      <c r="M998" t="s">
        <v>77</v>
      </c>
      <c r="N998" t="s">
        <v>78</v>
      </c>
      <c r="O998" t="s">
        <v>74</v>
      </c>
      <c r="P998" t="s">
        <v>74</v>
      </c>
      <c r="Q998" t="s">
        <v>74</v>
      </c>
      <c r="R998" t="s">
        <v>74</v>
      </c>
      <c r="S998" t="s">
        <v>74</v>
      </c>
      <c r="T998" t="s">
        <v>11972</v>
      </c>
      <c r="U998" t="s">
        <v>11973</v>
      </c>
      <c r="V998" t="s">
        <v>11974</v>
      </c>
      <c r="W998" t="s">
        <v>11975</v>
      </c>
      <c r="X998" t="s">
        <v>11976</v>
      </c>
      <c r="Y998" t="s">
        <v>11977</v>
      </c>
      <c r="Z998" t="s">
        <v>74</v>
      </c>
      <c r="AA998" t="s">
        <v>2972</v>
      </c>
      <c r="AB998" t="s">
        <v>2973</v>
      </c>
      <c r="AC998" t="s">
        <v>74</v>
      </c>
      <c r="AD998" t="s">
        <v>74</v>
      </c>
      <c r="AE998" t="s">
        <v>74</v>
      </c>
      <c r="AF998" t="s">
        <v>74</v>
      </c>
      <c r="AG998">
        <v>45</v>
      </c>
      <c r="AH998">
        <v>86</v>
      </c>
      <c r="AI998">
        <v>98</v>
      </c>
      <c r="AJ998">
        <v>0</v>
      </c>
      <c r="AK998">
        <v>6</v>
      </c>
      <c r="AL998" t="s">
        <v>4307</v>
      </c>
      <c r="AM998" t="s">
        <v>4308</v>
      </c>
      <c r="AN998" t="s">
        <v>10310</v>
      </c>
      <c r="AO998" t="s">
        <v>11978</v>
      </c>
      <c r="AP998" t="s">
        <v>74</v>
      </c>
      <c r="AQ998" t="s">
        <v>74</v>
      </c>
      <c r="AR998" t="s">
        <v>11979</v>
      </c>
      <c r="AS998" t="s">
        <v>11980</v>
      </c>
      <c r="AT998" t="s">
        <v>11676</v>
      </c>
      <c r="AU998">
        <v>1997</v>
      </c>
      <c r="AV998">
        <v>12</v>
      </c>
      <c r="AW998">
        <v>4</v>
      </c>
      <c r="AX998" t="s">
        <v>74</v>
      </c>
      <c r="AY998" t="s">
        <v>74</v>
      </c>
      <c r="AZ998" t="s">
        <v>74</v>
      </c>
      <c r="BA998" t="s">
        <v>74</v>
      </c>
      <c r="BB998">
        <v>259</v>
      </c>
      <c r="BC998">
        <v>273</v>
      </c>
      <c r="BD998" t="s">
        <v>74</v>
      </c>
      <c r="BE998" t="s">
        <v>11981</v>
      </c>
      <c r="BF998" t="str">
        <f>HYPERLINK("http://dx.doi.org/10.1002/(SICI)1099-1417(199707/08)12:4&lt;259::AID-JQS307&gt;3.3.CO;2-Y","http://dx.doi.org/10.1002/(SICI)1099-1417(199707/08)12:4&lt;259::AID-JQS307&gt;3.3.CO;2-Y")</f>
        <v>http://dx.doi.org/10.1002/(SICI)1099-1417(199707/08)12:4&lt;259::AID-JQS307&gt;3.3.CO;2-Y</v>
      </c>
      <c r="BG998" t="s">
        <v>74</v>
      </c>
      <c r="BH998" t="s">
        <v>74</v>
      </c>
      <c r="BI998">
        <v>15</v>
      </c>
      <c r="BJ998" t="s">
        <v>4239</v>
      </c>
      <c r="BK998" t="s">
        <v>98</v>
      </c>
      <c r="BL998" t="s">
        <v>4240</v>
      </c>
      <c r="BM998" t="s">
        <v>11982</v>
      </c>
      <c r="BN998" t="s">
        <v>74</v>
      </c>
      <c r="BO998" t="s">
        <v>74</v>
      </c>
      <c r="BP998" t="s">
        <v>74</v>
      </c>
      <c r="BQ998" t="s">
        <v>74</v>
      </c>
      <c r="BR998" t="s">
        <v>101</v>
      </c>
      <c r="BS998" t="s">
        <v>11983</v>
      </c>
      <c r="BT998" t="str">
        <f>HYPERLINK("https%3A%2F%2Fwww.webofscience.com%2Fwos%2Fwoscc%2Ffull-record%2FWOS:A1997XY95000001","View Full Record in Web of Science")</f>
        <v>View Full Record in Web of Science</v>
      </c>
    </row>
    <row r="999" spans="1:72" x14ac:dyDescent="0.15">
      <c r="A999" t="s">
        <v>72</v>
      </c>
      <c r="B999" t="s">
        <v>11984</v>
      </c>
      <c r="C999" t="s">
        <v>74</v>
      </c>
      <c r="D999" t="s">
        <v>74</v>
      </c>
      <c r="E999" t="s">
        <v>74</v>
      </c>
      <c r="F999" t="s">
        <v>11984</v>
      </c>
      <c r="G999" t="s">
        <v>74</v>
      </c>
      <c r="H999" t="s">
        <v>74</v>
      </c>
      <c r="I999" t="s">
        <v>11985</v>
      </c>
      <c r="J999" t="s">
        <v>8583</v>
      </c>
      <c r="K999" t="s">
        <v>74</v>
      </c>
      <c r="L999" t="s">
        <v>74</v>
      </c>
      <c r="M999" t="s">
        <v>77</v>
      </c>
      <c r="N999" t="s">
        <v>78</v>
      </c>
      <c r="O999" t="s">
        <v>74</v>
      </c>
      <c r="P999" t="s">
        <v>74</v>
      </c>
      <c r="Q999" t="s">
        <v>74</v>
      </c>
      <c r="R999" t="s">
        <v>74</v>
      </c>
      <c r="S999" t="s">
        <v>74</v>
      </c>
      <c r="T999" t="s">
        <v>74</v>
      </c>
      <c r="U999" t="s">
        <v>11986</v>
      </c>
      <c r="V999" t="s">
        <v>11987</v>
      </c>
      <c r="W999" t="s">
        <v>74</v>
      </c>
      <c r="X999" t="s">
        <v>74</v>
      </c>
      <c r="Y999" t="s">
        <v>11988</v>
      </c>
      <c r="Z999" t="s">
        <v>74</v>
      </c>
      <c r="AA999" t="s">
        <v>74</v>
      </c>
      <c r="AB999" t="s">
        <v>74</v>
      </c>
      <c r="AC999" t="s">
        <v>74</v>
      </c>
      <c r="AD999" t="s">
        <v>74</v>
      </c>
      <c r="AE999" t="s">
        <v>74</v>
      </c>
      <c r="AF999" t="s">
        <v>74</v>
      </c>
      <c r="AG999">
        <v>49</v>
      </c>
      <c r="AH999">
        <v>35</v>
      </c>
      <c r="AI999">
        <v>38</v>
      </c>
      <c r="AJ999">
        <v>0</v>
      </c>
      <c r="AK999">
        <v>2</v>
      </c>
      <c r="AL999" t="s">
        <v>8591</v>
      </c>
      <c r="AM999" t="s">
        <v>8592</v>
      </c>
      <c r="AN999" t="s">
        <v>8593</v>
      </c>
      <c r="AO999" t="s">
        <v>8594</v>
      </c>
      <c r="AP999" t="s">
        <v>74</v>
      </c>
      <c r="AQ999" t="s">
        <v>74</v>
      </c>
      <c r="AR999" t="s">
        <v>8595</v>
      </c>
      <c r="AS999" t="s">
        <v>8596</v>
      </c>
      <c r="AT999" t="s">
        <v>11582</v>
      </c>
      <c r="AU999">
        <v>1997</v>
      </c>
      <c r="AV999">
        <v>67</v>
      </c>
      <c r="AW999">
        <v>4</v>
      </c>
      <c r="AX999" t="s">
        <v>8597</v>
      </c>
      <c r="AY999" t="s">
        <v>74</v>
      </c>
      <c r="AZ999" t="s">
        <v>74</v>
      </c>
      <c r="BA999" t="s">
        <v>74</v>
      </c>
      <c r="BB999">
        <v>686</v>
      </c>
      <c r="BC999">
        <v>697</v>
      </c>
      <c r="BD999" t="s">
        <v>74</v>
      </c>
      <c r="BE999" t="s">
        <v>74</v>
      </c>
      <c r="BF999" t="s">
        <v>74</v>
      </c>
      <c r="BG999" t="s">
        <v>74</v>
      </c>
      <c r="BH999" t="s">
        <v>74</v>
      </c>
      <c r="BI999">
        <v>12</v>
      </c>
      <c r="BJ999" t="s">
        <v>471</v>
      </c>
      <c r="BK999" t="s">
        <v>98</v>
      </c>
      <c r="BL999" t="s">
        <v>471</v>
      </c>
      <c r="BM999" t="s">
        <v>11989</v>
      </c>
      <c r="BN999" t="s">
        <v>74</v>
      </c>
      <c r="BO999" t="s">
        <v>74</v>
      </c>
      <c r="BP999" t="s">
        <v>74</v>
      </c>
      <c r="BQ999" t="s">
        <v>74</v>
      </c>
      <c r="BR999" t="s">
        <v>101</v>
      </c>
      <c r="BS999" t="s">
        <v>11990</v>
      </c>
      <c r="BT999" t="str">
        <f>HYPERLINK("https%3A%2F%2Fwww.webofscience.com%2Fwos%2Fwoscc%2Ffull-record%2FWOS:A1997XK71500006","View Full Record in Web of Science")</f>
        <v>View Full Record in Web of Science</v>
      </c>
    </row>
    <row r="1000" spans="1:72" x14ac:dyDescent="0.15">
      <c r="A1000" t="s">
        <v>72</v>
      </c>
      <c r="B1000" t="s">
        <v>11991</v>
      </c>
      <c r="C1000" t="s">
        <v>74</v>
      </c>
      <c r="D1000" t="s">
        <v>74</v>
      </c>
      <c r="E1000" t="s">
        <v>74</v>
      </c>
      <c r="F1000" t="s">
        <v>11991</v>
      </c>
      <c r="G1000" t="s">
        <v>74</v>
      </c>
      <c r="H1000" t="s">
        <v>74</v>
      </c>
      <c r="I1000" t="s">
        <v>11992</v>
      </c>
      <c r="J1000" t="s">
        <v>754</v>
      </c>
      <c r="K1000" t="s">
        <v>74</v>
      </c>
      <c r="L1000" t="s">
        <v>74</v>
      </c>
      <c r="M1000" t="s">
        <v>77</v>
      </c>
      <c r="N1000" t="s">
        <v>78</v>
      </c>
      <c r="O1000" t="s">
        <v>74</v>
      </c>
      <c r="P1000" t="s">
        <v>74</v>
      </c>
      <c r="Q1000" t="s">
        <v>74</v>
      </c>
      <c r="R1000" t="s">
        <v>74</v>
      </c>
      <c r="S1000" t="s">
        <v>74</v>
      </c>
      <c r="T1000" t="s">
        <v>11993</v>
      </c>
      <c r="U1000" t="s">
        <v>11994</v>
      </c>
      <c r="V1000" t="s">
        <v>11995</v>
      </c>
      <c r="W1000" t="s">
        <v>11996</v>
      </c>
      <c r="X1000" t="s">
        <v>1585</v>
      </c>
      <c r="Y1000" t="s">
        <v>74</v>
      </c>
      <c r="Z1000" t="s">
        <v>74</v>
      </c>
      <c r="AA1000" t="s">
        <v>74</v>
      </c>
      <c r="AB1000" t="s">
        <v>74</v>
      </c>
      <c r="AC1000" t="s">
        <v>74</v>
      </c>
      <c r="AD1000" t="s">
        <v>74</v>
      </c>
      <c r="AE1000" t="s">
        <v>74</v>
      </c>
      <c r="AF1000" t="s">
        <v>74</v>
      </c>
      <c r="AG1000">
        <v>43</v>
      </c>
      <c r="AH1000">
        <v>14</v>
      </c>
      <c r="AI1000">
        <v>14</v>
      </c>
      <c r="AJ1000">
        <v>0</v>
      </c>
      <c r="AK1000">
        <v>2</v>
      </c>
      <c r="AL1000" t="s">
        <v>762</v>
      </c>
      <c r="AM1000" t="s">
        <v>763</v>
      </c>
      <c r="AN1000" t="s">
        <v>764</v>
      </c>
      <c r="AO1000" t="s">
        <v>765</v>
      </c>
      <c r="AP1000" t="s">
        <v>74</v>
      </c>
      <c r="AQ1000" t="s">
        <v>74</v>
      </c>
      <c r="AR1000" t="s">
        <v>766</v>
      </c>
      <c r="AS1000" t="s">
        <v>767</v>
      </c>
      <c r="AT1000" t="s">
        <v>11582</v>
      </c>
      <c r="AU1000">
        <v>1997</v>
      </c>
      <c r="AV1000">
        <v>154</v>
      </c>
      <c r="AW1000" t="s">
        <v>74</v>
      </c>
      <c r="AX1000">
        <v>4</v>
      </c>
      <c r="AY1000" t="s">
        <v>74</v>
      </c>
      <c r="AZ1000" t="s">
        <v>74</v>
      </c>
      <c r="BA1000" t="s">
        <v>74</v>
      </c>
      <c r="BB1000">
        <v>645</v>
      </c>
      <c r="BC1000">
        <v>652</v>
      </c>
      <c r="BD1000" t="s">
        <v>74</v>
      </c>
      <c r="BE1000" t="s">
        <v>11997</v>
      </c>
      <c r="BF1000" t="str">
        <f>HYPERLINK("http://dx.doi.org/10.1144/gsjgs.154.4.0645","http://dx.doi.org/10.1144/gsjgs.154.4.0645")</f>
        <v>http://dx.doi.org/10.1144/gsjgs.154.4.0645</v>
      </c>
      <c r="BG1000" t="s">
        <v>74</v>
      </c>
      <c r="BH1000" t="s">
        <v>74</v>
      </c>
      <c r="BI1000">
        <v>8</v>
      </c>
      <c r="BJ1000" t="s">
        <v>769</v>
      </c>
      <c r="BK1000" t="s">
        <v>98</v>
      </c>
      <c r="BL1000" t="s">
        <v>471</v>
      </c>
      <c r="BM1000" t="s">
        <v>11998</v>
      </c>
      <c r="BN1000" t="s">
        <v>74</v>
      </c>
      <c r="BO1000" t="s">
        <v>74</v>
      </c>
      <c r="BP1000" t="s">
        <v>74</v>
      </c>
      <c r="BQ1000" t="s">
        <v>74</v>
      </c>
      <c r="BR1000" t="s">
        <v>101</v>
      </c>
      <c r="BS1000" t="s">
        <v>11999</v>
      </c>
      <c r="BT1000" t="str">
        <f>HYPERLINK("https%3A%2F%2Fwww.webofscience.com%2Fwos%2Fwoscc%2Ffull-record%2FWOS:A1997XK67600010","View Full Record in Web of Science")</f>
        <v>View Full Record in Web of Science</v>
      </c>
    </row>
    <row r="1001" spans="1:72" x14ac:dyDescent="0.15">
      <c r="A1001" t="s">
        <v>72</v>
      </c>
      <c r="B1001" t="s">
        <v>12000</v>
      </c>
      <c r="C1001" t="s">
        <v>74</v>
      </c>
      <c r="D1001" t="s">
        <v>74</v>
      </c>
      <c r="E1001" t="s">
        <v>74</v>
      </c>
      <c r="F1001" t="s">
        <v>12000</v>
      </c>
      <c r="G1001" t="s">
        <v>74</v>
      </c>
      <c r="H1001" t="s">
        <v>74</v>
      </c>
      <c r="I1001" t="s">
        <v>12001</v>
      </c>
      <c r="J1001" t="s">
        <v>1776</v>
      </c>
      <c r="K1001" t="s">
        <v>74</v>
      </c>
      <c r="L1001" t="s">
        <v>74</v>
      </c>
      <c r="M1001" t="s">
        <v>77</v>
      </c>
      <c r="N1001" t="s">
        <v>78</v>
      </c>
      <c r="O1001" t="s">
        <v>74</v>
      </c>
      <c r="P1001" t="s">
        <v>74</v>
      </c>
      <c r="Q1001" t="s">
        <v>74</v>
      </c>
      <c r="R1001" t="s">
        <v>74</v>
      </c>
      <c r="S1001" t="s">
        <v>74</v>
      </c>
      <c r="T1001" t="s">
        <v>74</v>
      </c>
      <c r="U1001" t="s">
        <v>12002</v>
      </c>
      <c r="V1001" t="s">
        <v>12003</v>
      </c>
      <c r="W1001" t="s">
        <v>74</v>
      </c>
      <c r="X1001" t="s">
        <v>74</v>
      </c>
      <c r="Y1001" t="s">
        <v>10626</v>
      </c>
      <c r="Z1001" t="s">
        <v>74</v>
      </c>
      <c r="AA1001" t="s">
        <v>12004</v>
      </c>
      <c r="AB1001" t="s">
        <v>74</v>
      </c>
      <c r="AC1001" t="s">
        <v>74</v>
      </c>
      <c r="AD1001" t="s">
        <v>74</v>
      </c>
      <c r="AE1001" t="s">
        <v>74</v>
      </c>
      <c r="AF1001" t="s">
        <v>74</v>
      </c>
      <c r="AG1001">
        <v>68</v>
      </c>
      <c r="AH1001">
        <v>130</v>
      </c>
      <c r="AI1001">
        <v>135</v>
      </c>
      <c r="AJ1001">
        <v>1</v>
      </c>
      <c r="AK1001">
        <v>27</v>
      </c>
      <c r="AL1001" t="s">
        <v>1692</v>
      </c>
      <c r="AM1001" t="s">
        <v>214</v>
      </c>
      <c r="AN1001" t="s">
        <v>10259</v>
      </c>
      <c r="AO1001" t="s">
        <v>1783</v>
      </c>
      <c r="AP1001" t="s">
        <v>74</v>
      </c>
      <c r="AQ1001" t="s">
        <v>74</v>
      </c>
      <c r="AR1001" t="s">
        <v>1785</v>
      </c>
      <c r="AS1001" t="s">
        <v>1786</v>
      </c>
      <c r="AT1001" t="s">
        <v>11582</v>
      </c>
      <c r="AU1001">
        <v>1997</v>
      </c>
      <c r="AV1001">
        <v>242</v>
      </c>
      <c r="AW1001" t="s">
        <v>74</v>
      </c>
      <c r="AX1001">
        <v>3</v>
      </c>
      <c r="AY1001" t="s">
        <v>74</v>
      </c>
      <c r="AZ1001" t="s">
        <v>74</v>
      </c>
      <c r="BA1001" t="s">
        <v>74</v>
      </c>
      <c r="BB1001">
        <v>531</v>
      </c>
      <c r="BC1001">
        <v>556</v>
      </c>
      <c r="BD1001" t="s">
        <v>74</v>
      </c>
      <c r="BE1001" t="s">
        <v>12005</v>
      </c>
      <c r="BF1001" t="str">
        <f>HYPERLINK("http://dx.doi.org/10.1111/j.1469-7998.1997.tb03854.x","http://dx.doi.org/10.1111/j.1469-7998.1997.tb03854.x")</f>
        <v>http://dx.doi.org/10.1111/j.1469-7998.1997.tb03854.x</v>
      </c>
      <c r="BG1001" t="s">
        <v>74</v>
      </c>
      <c r="BH1001" t="s">
        <v>74</v>
      </c>
      <c r="BI1001">
        <v>26</v>
      </c>
      <c r="BJ1001" t="s">
        <v>417</v>
      </c>
      <c r="BK1001" t="s">
        <v>98</v>
      </c>
      <c r="BL1001" t="s">
        <v>417</v>
      </c>
      <c r="BM1001" t="s">
        <v>12006</v>
      </c>
      <c r="BN1001" t="s">
        <v>74</v>
      </c>
      <c r="BO1001" t="s">
        <v>74</v>
      </c>
      <c r="BP1001" t="s">
        <v>74</v>
      </c>
      <c r="BQ1001" t="s">
        <v>74</v>
      </c>
      <c r="BR1001" t="s">
        <v>101</v>
      </c>
      <c r="BS1001" t="s">
        <v>12007</v>
      </c>
      <c r="BT1001" t="str">
        <f>HYPERLINK("https%3A%2F%2Fwww.webofscience.com%2Fwos%2Fwoscc%2Ffull-record%2FWOS:A1997XM70400010","View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2024-07-28T15:26:41Z</dcterms:created>
  <dcterms:modified xsi:type="dcterms:W3CDTF">2024-07-28T15:26:41Z</dcterms:modified>
</cp:coreProperties>
</file>